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-0.18219506</v>
      </c>
      <c r="G2" t="n">
        <v>0.0233319727943683</v>
      </c>
      <c r="H2" t="n">
        <v>0.0155996174017148</v>
      </c>
      <c r="I2" t="n">
        <v>0.2982156689059368</v>
      </c>
      <c r="J2" t="n">
        <v>0.1039395602765332</v>
      </c>
      <c r="K2" t="n">
        <v>0.3241859739865575</v>
      </c>
      <c r="L2" t="b">
        <v>0</v>
      </c>
      <c r="M2" t="b">
        <v>0</v>
      </c>
      <c r="N2" t="inlineStr">
        <is>
          <t>ref</t>
        </is>
      </c>
      <c r="O2" t="n">
        <v>95</v>
      </c>
      <c r="P2" t="n">
        <v>0.0066</v>
      </c>
      <c r="Q2" t="n">
        <v>-10</v>
      </c>
      <c r="R2" t="n">
        <v>0.00232</v>
      </c>
      <c r="S2">
        <f>IMAGE("https://mitra.stanford.edu/kundaje/oak/projects/neuro-variants/variant_position/credible/roussos_2024/variant_figures/roussos_2024.adolescence.Astrocyte/rs11121162_count_position.png",4,220,900)</f>
        <v/>
      </c>
      <c r="T2">
        <f>IMAGE("https://mitra.stanford.edu/kundaje/oak/projects/neuro-variants/variant_position/credible/roussos_2024/variant_figures/roussos_2024.adolescence.Astrocyte/rs11121162_profile_position.png",4,220,900)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0.160990102</v>
      </c>
      <c r="G3" t="n">
        <v>0.0322407520937708</v>
      </c>
      <c r="H3" t="n">
        <v>0.0248177564185235</v>
      </c>
      <c r="I3" t="n">
        <v>0.0674256849211181</v>
      </c>
      <c r="J3" t="n">
        <v>0.0389290270895765</v>
      </c>
      <c r="K3" t="n">
        <v>0.4767734119985197</v>
      </c>
      <c r="L3" t="b">
        <v>0</v>
      </c>
      <c r="M3" t="b">
        <v>0</v>
      </c>
      <c r="N3" t="inlineStr">
        <is>
          <t>alt</t>
        </is>
      </c>
      <c r="O3" t="n">
        <v>-5</v>
      </c>
      <c r="P3" t="n">
        <v>0.0001221</v>
      </c>
      <c r="Q3" t="n">
        <v>-35</v>
      </c>
      <c r="R3" t="n">
        <v>0.04395</v>
      </c>
      <c r="S3">
        <f>IMAGE("https://mitra.stanford.edu/kundaje/oak/projects/neuro-variants/variant_position/credible/roussos_2024/variant_figures/roussos_2024.adolescence.Astrocyte/rs12408399_count_position.png",4,220,900)</f>
        <v/>
      </c>
      <c r="T3">
        <f>IMAGE("https://mitra.stanford.edu/kundaje/oak/projects/neuro-variants/variant_position/credible/roussos_2024/variant_figures/roussos_2024.adolescence.Astrocyte/rs12408399_profile_position.png",4,220,900)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-0.146723212</v>
      </c>
      <c r="G4" t="n">
        <v>0.0387806291631136</v>
      </c>
      <c r="H4" t="n">
        <v>0.020106284985623</v>
      </c>
      <c r="I4" t="n">
        <v>0.1373813902787244</v>
      </c>
      <c r="J4" t="n">
        <v>0.3969891404326024</v>
      </c>
      <c r="K4" t="n">
        <v>0.0895156735192507</v>
      </c>
      <c r="L4" t="b">
        <v>0</v>
      </c>
      <c r="M4" t="b">
        <v>0</v>
      </c>
      <c r="N4" t="inlineStr">
        <is>
          <t>ref</t>
        </is>
      </c>
      <c r="O4" t="n">
        <v>100</v>
      </c>
      <c r="P4" t="n">
        <v>0.05536</v>
      </c>
      <c r="Q4" t="n">
        <v>-80</v>
      </c>
      <c r="R4" t="n">
        <v>0.1421</v>
      </c>
      <c r="S4">
        <f>IMAGE("https://mitra.stanford.edu/kundaje/oak/projects/neuro-variants/variant_position/credible/roussos_2024/variant_figures/roussos_2024.adolescence.Astrocyte/rs11586622_count_position.png",4,220,900)</f>
        <v/>
      </c>
      <c r="T4">
        <f>IMAGE("https://mitra.stanford.edu/kundaje/oak/projects/neuro-variants/variant_position/credible/roussos_2024/variant_figures/roussos_2024.adolescence.Astrocyte/rs11586622_profile_position.png",4,220,900)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0.0309703104</v>
      </c>
      <c r="G5" t="n">
        <v>0.3928451767943325</v>
      </c>
      <c r="H5" t="n">
        <v>0.0404914148634456</v>
      </c>
      <c r="I5" t="n">
        <v>0.009268445461520501</v>
      </c>
      <c r="J5" t="n">
        <v>0.3966716612764441</v>
      </c>
      <c r="K5" t="n">
        <v>0.0896398369960596</v>
      </c>
      <c r="L5" t="b">
        <v>1</v>
      </c>
      <c r="M5" t="b">
        <v>1</v>
      </c>
      <c r="N5" t="inlineStr">
        <is>
          <t>alt</t>
        </is>
      </c>
      <c r="O5" t="n">
        <v>90</v>
      </c>
      <c r="P5" t="n">
        <v>0.00885</v>
      </c>
      <c r="Q5" t="n">
        <v>-75</v>
      </c>
      <c r="R5" t="n">
        <v>0.2573</v>
      </c>
      <c r="S5">
        <f>IMAGE("https://mitra.stanford.edu/kundaje/oak/projects/neuro-variants/variant_position/credible/roussos_2024/variant_figures/roussos_2024.adolescence.Astrocyte/rs4908751_count_position.png",4,220,900)</f>
        <v/>
      </c>
      <c r="T5">
        <f>IMAGE("https://mitra.stanford.edu/kundaje/oak/projects/neuro-variants/variant_position/credible/roussos_2024/variant_figures/roussos_2024.adolescence.Astrocyte/rs4908751_profile_position.png",4,220,900)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-0.00344211462</v>
      </c>
      <c r="G6" t="n">
        <v>0.757126916343999</v>
      </c>
      <c r="H6" t="n">
        <v>0.0205730166022578</v>
      </c>
      <c r="I6" t="n">
        <v>0.1235274920066906</v>
      </c>
      <c r="J6" t="n">
        <v>0.0339339227961902</v>
      </c>
      <c r="K6" t="n">
        <v>0.5024989053322617</v>
      </c>
      <c r="L6" t="b">
        <v>0</v>
      </c>
      <c r="M6" t="b">
        <v>0</v>
      </c>
      <c r="N6" t="inlineStr">
        <is>
          <t>ref</t>
        </is>
      </c>
      <c r="O6" t="n">
        <v>60</v>
      </c>
      <c r="P6" t="n">
        <v>0.001099</v>
      </c>
      <c r="Q6" t="n">
        <v>75</v>
      </c>
      <c r="R6" t="n">
        <v>0.08550000000000001</v>
      </c>
      <c r="S6">
        <f>IMAGE("https://mitra.stanford.edu/kundaje/oak/projects/neuro-variants/variant_position/credible/roussos_2024/variant_figures/roussos_2024.adolescence.Astrocyte/rs301796_count_position.png",4,220,900)</f>
        <v/>
      </c>
      <c r="T6">
        <f>IMAGE("https://mitra.stanford.edu/kundaje/oak/projects/neuro-variants/variant_position/credible/roussos_2024/variant_figures/roussos_2024.adolescence.Astrocyte/rs301796_profile_position.png",4,220,900)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0.08548536799999989</v>
      </c>
      <c r="G7" t="n">
        <v>0.100436704760522</v>
      </c>
      <c r="H7" t="n">
        <v>0.0139605506000808</v>
      </c>
      <c r="I7" t="n">
        <v>0.3932514488885826</v>
      </c>
      <c r="J7" t="n">
        <v>0.6068309942735068</v>
      </c>
      <c r="K7" t="n">
        <v>0.0329056313551931</v>
      </c>
      <c r="L7" t="b">
        <v>0</v>
      </c>
      <c r="M7" t="b">
        <v>0</v>
      </c>
      <c r="N7" t="inlineStr">
        <is>
          <t>alt</t>
        </is>
      </c>
      <c r="O7" t="n">
        <v>-65</v>
      </c>
      <c r="P7" t="n">
        <v>0.003403</v>
      </c>
      <c r="Q7" t="n">
        <v>35</v>
      </c>
      <c r="R7" t="n">
        <v>0.12256</v>
      </c>
      <c r="S7">
        <f>IMAGE("https://mitra.stanford.edu/kundaje/oak/projects/neuro-variants/variant_position/credible/roussos_2024/variant_figures/roussos_2024.adolescence.Astrocyte/rs301789_count_position.png",4,220,900)</f>
        <v/>
      </c>
      <c r="T7">
        <f>IMAGE("https://mitra.stanford.edu/kundaje/oak/projects/neuro-variants/variant_position/credible/roussos_2024/variant_figures/roussos_2024.adolescence.Astrocyte/rs301789_profile_position.png",4,220,900)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0.008446555580000001</v>
      </c>
      <c r="G8" t="n">
        <v>0.7664645178270165</v>
      </c>
      <c r="H8" t="n">
        <v>0.0105796273287978</v>
      </c>
      <c r="I8" t="n">
        <v>0.6838202693319331</v>
      </c>
      <c r="J8" t="n">
        <v>0.0355101919710411</v>
      </c>
      <c r="K8" t="n">
        <v>0.4995805082143452</v>
      </c>
      <c r="L8" t="b">
        <v>0</v>
      </c>
      <c r="M8" t="b">
        <v>0</v>
      </c>
      <c r="N8" t="inlineStr">
        <is>
          <t>alt</t>
        </is>
      </c>
      <c r="O8" t="n">
        <v>-30</v>
      </c>
      <c r="P8" t="n">
        <v>0.002533</v>
      </c>
      <c r="Q8" t="n">
        <v>0</v>
      </c>
      <c r="R8" t="n">
        <v>0</v>
      </c>
      <c r="S8">
        <f>IMAGE("https://mitra.stanford.edu/kundaje/oak/projects/neuro-variants/variant_position/credible/roussos_2024/variant_figures/roussos_2024.adolescence.Astrocyte/rs1763838_count_position.png",4,220,900)</f>
        <v/>
      </c>
      <c r="T8">
        <f>IMAGE("https://mitra.stanford.edu/kundaje/oak/projects/neuro-variants/variant_position/credible/roussos_2024/variant_figures/roussos_2024.adolescence.Astrocyte/rs1763838_profile_position.png",4,220,900)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-0.0709264154</v>
      </c>
      <c r="G9" t="n">
        <v>0.1606656583582249</v>
      </c>
      <c r="H9" t="n">
        <v>0.0435018084884029</v>
      </c>
      <c r="I9" t="n">
        <v>0.0068051280318038</v>
      </c>
      <c r="J9" t="n">
        <v>0.2265273121087143</v>
      </c>
      <c r="K9" t="n">
        <v>0.1836737026941567</v>
      </c>
      <c r="L9" t="b">
        <v>1</v>
      </c>
      <c r="M9" t="b">
        <v>1</v>
      </c>
      <c r="N9" t="inlineStr">
        <is>
          <t>ref</t>
        </is>
      </c>
      <c r="O9" t="n">
        <v>90</v>
      </c>
      <c r="P9" t="n">
        <v>0.02536</v>
      </c>
      <c r="Q9" t="n">
        <v>90</v>
      </c>
      <c r="R9" t="n">
        <v>0.2002</v>
      </c>
      <c r="S9">
        <f>IMAGE("https://mitra.stanford.edu/kundaje/oak/projects/neuro-variants/variant_position/credible/roussos_2024/variant_figures/roussos_2024.adolescence.Astrocyte/rs302719_count_position.png",4,220,900)</f>
        <v/>
      </c>
      <c r="T9">
        <f>IMAGE("https://mitra.stanford.edu/kundaje/oak/projects/neuro-variants/variant_position/credible/roussos_2024/variant_figures/roussos_2024.adolescence.Astrocyte/rs302719_profile_position.png",4,220,900)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-0.0292654529999999</v>
      </c>
      <c r="G10" t="n">
        <v>0.3928684155375047</v>
      </c>
      <c r="H10" t="n">
        <v>0.0105635185445366</v>
      </c>
      <c r="I10" t="n">
        <v>0.6790026887033945</v>
      </c>
      <c r="J10" t="n">
        <v>0.0060491647627807</v>
      </c>
      <c r="K10" t="n">
        <v>0.7238191605679349</v>
      </c>
      <c r="L10" t="b">
        <v>0</v>
      </c>
      <c r="M10" t="b">
        <v>0</v>
      </c>
      <c r="N10" t="inlineStr">
        <is>
          <t>ref</t>
        </is>
      </c>
      <c r="O10" t="n">
        <v>100</v>
      </c>
      <c r="P10" t="n">
        <v>0.02097</v>
      </c>
      <c r="Q10" t="n">
        <v>35</v>
      </c>
      <c r="R10" t="n">
        <v>0.0762</v>
      </c>
      <c r="S10">
        <f>IMAGE("https://mitra.stanford.edu/kundaje/oak/projects/neuro-variants/variant_position/credible/roussos_2024/variant_figures/roussos_2024.adolescence.Astrocyte/rs172531_count_position.png",4,220,900)</f>
        <v/>
      </c>
      <c r="T10">
        <f>IMAGE("https://mitra.stanford.edu/kundaje/oak/projects/neuro-variants/variant_position/credible/roussos_2024/variant_figures/roussos_2024.adolescence.Astrocyte/rs172531_profile_position.png",4,220,900)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0.055278546</v>
      </c>
      <c r="G11" t="n">
        <v>0.1968964365284509</v>
      </c>
      <c r="H11" t="n">
        <v>0.0152316819079077</v>
      </c>
      <c r="I11" t="n">
        <v>0.3109506860037973</v>
      </c>
      <c r="J11" t="n">
        <v>0.1169035397442364</v>
      </c>
      <c r="K11" t="n">
        <v>0.3006952885840614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0.005188</v>
      </c>
      <c r="Q11" t="n">
        <v>-80</v>
      </c>
      <c r="R11" t="n">
        <v>0.09520000000000001</v>
      </c>
      <c r="S11">
        <f>IMAGE("https://mitra.stanford.edu/kundaje/oak/projects/neuro-variants/variant_position/credible/roussos_2024/variant_figures/roussos_2024.adolescence.Astrocyte/rs301818_count_position.png",4,220,900)</f>
        <v/>
      </c>
      <c r="T11">
        <f>IMAGE("https://mitra.stanford.edu/kundaje/oak/projects/neuro-variants/variant_position/credible/roussos_2024/variant_figures/roussos_2024.adolescence.Astrocyte/rs301818_profile_position.png",4,220,900)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0.01136993356</v>
      </c>
      <c r="G12" t="n">
        <v>0.7122149653035573</v>
      </c>
      <c r="H12" t="n">
        <v>0.0470896802658946</v>
      </c>
      <c r="I12" t="n">
        <v>0.0048946585238939</v>
      </c>
      <c r="J12" t="n">
        <v>0.0046835593270628</v>
      </c>
      <c r="K12" t="n">
        <v>0.7495867642376892</v>
      </c>
      <c r="L12" t="b">
        <v>0</v>
      </c>
      <c r="M12" t="b">
        <v>0</v>
      </c>
      <c r="N12" t="inlineStr">
        <is>
          <t>alt</t>
        </is>
      </c>
      <c r="O12" t="n">
        <v>0</v>
      </c>
      <c r="P12" t="n">
        <v>0</v>
      </c>
      <c r="Q12" t="n">
        <v>45</v>
      </c>
      <c r="R12" t="n">
        <v>0.04468</v>
      </c>
      <c r="S12">
        <f>IMAGE("https://mitra.stanford.edu/kundaje/oak/projects/neuro-variants/variant_position/credible/roussos_2024/variant_figures/roussos_2024.adolescence.Astrocyte/rs7368197_count_position.png",4,220,900)</f>
        <v/>
      </c>
      <c r="T12">
        <f>IMAGE("https://mitra.stanford.edu/kundaje/oak/projects/neuro-variants/variant_position/credible/roussos_2024/variant_figures/roussos_2024.adolescence.Astrocyte/rs7368197_profile_position.png",4,220,900)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-0.048695434</v>
      </c>
      <c r="G13" t="n">
        <v>0.2531893271611837</v>
      </c>
      <c r="H13" t="n">
        <v>0.0182939524216301</v>
      </c>
      <c r="I13" t="n">
        <v>0.1821086604906728</v>
      </c>
      <c r="J13" t="n">
        <v>0.0172499480758389</v>
      </c>
      <c r="K13" t="n">
        <v>0.6065541678795127</v>
      </c>
      <c r="L13" t="b">
        <v>0</v>
      </c>
      <c r="M13" t="b">
        <v>0</v>
      </c>
      <c r="N13" t="inlineStr">
        <is>
          <t>ref</t>
        </is>
      </c>
      <c r="O13" t="n">
        <v>70</v>
      </c>
      <c r="P13" t="n">
        <v>0.001141</v>
      </c>
      <c r="Q13" t="n">
        <v>80</v>
      </c>
      <c r="R13" t="n">
        <v>0.2056</v>
      </c>
      <c r="S13">
        <f>IMAGE("https://mitra.stanford.edu/kundaje/oak/projects/neuro-variants/variant_position/credible/roussos_2024/variant_figures/roussos_2024.adolescence.Astrocyte/rs61786043_count_position.png",4,220,900)</f>
        <v/>
      </c>
      <c r="T13">
        <f>IMAGE("https://mitra.stanford.edu/kundaje/oak/projects/neuro-variants/variant_position/credible/roussos_2024/variant_figures/roussos_2024.adolescence.Astrocyte/rs61786043_profile_position.png",4,220,900)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-0.0405091872</v>
      </c>
      <c r="G14" t="n">
        <v>0.298212201120186</v>
      </c>
      <c r="H14" t="n">
        <v>0.0121554420667539</v>
      </c>
      <c r="I14" t="n">
        <v>0.5375566059856093</v>
      </c>
      <c r="J14" t="n">
        <v>0.0252729727323976</v>
      </c>
      <c r="K14" t="n">
        <v>0.5676444389641062</v>
      </c>
      <c r="L14" t="b">
        <v>0</v>
      </c>
      <c r="M14" t="b">
        <v>0</v>
      </c>
      <c r="N14" t="inlineStr">
        <is>
          <t>ref</t>
        </is>
      </c>
      <c r="O14" t="n">
        <v>50</v>
      </c>
      <c r="P14" t="n">
        <v>0.05157</v>
      </c>
      <c r="Q14" t="n">
        <v>100</v>
      </c>
      <c r="R14" t="n">
        <v>0.2864</v>
      </c>
      <c r="S14">
        <f>IMAGE("https://mitra.stanford.edu/kundaje/oak/projects/neuro-variants/variant_position/credible/roussos_2024/variant_figures/roussos_2024.adolescence.Astrocyte/rs61787564_count_position.png",4,220,900)</f>
        <v/>
      </c>
      <c r="T14">
        <f>IMAGE("https://mitra.stanford.edu/kundaje/oak/projects/neuro-variants/variant_position/credible/roussos_2024/variant_figures/roussos_2024.adolescence.Astrocyte/rs61787564_profile_position.png",4,220,900)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-0.0342418428</v>
      </c>
      <c r="G15" t="n">
        <v>0.3646410918010328</v>
      </c>
      <c r="H15" t="n">
        <v>0.043609588840057</v>
      </c>
      <c r="I15" t="n">
        <v>0.0067184547740692</v>
      </c>
      <c r="J15" t="n">
        <v>0.0026918968637806</v>
      </c>
      <c r="K15" t="n">
        <v>0.8102564445956072</v>
      </c>
      <c r="L15" t="b">
        <v>0</v>
      </c>
      <c r="M15" t="b">
        <v>0</v>
      </c>
      <c r="N15" t="inlineStr">
        <is>
          <t>ref</t>
        </is>
      </c>
      <c r="O15" t="n">
        <v>15</v>
      </c>
      <c r="P15" t="n">
        <v>0.001831</v>
      </c>
      <c r="Q15" t="n">
        <v>-45</v>
      </c>
      <c r="R15" t="n">
        <v>0.03967</v>
      </c>
      <c r="S15">
        <f>IMAGE("https://mitra.stanford.edu/kundaje/oak/projects/neuro-variants/variant_position/credible/roussos_2024/variant_figures/roussos_2024.adolescence.Astrocyte/rs61787565_count_position.png",4,220,900)</f>
        <v/>
      </c>
      <c r="T15">
        <f>IMAGE("https://mitra.stanford.edu/kundaje/oak/projects/neuro-variants/variant_position/credible/roussos_2024/variant_figures/roussos_2024.adolescence.Astrocyte/rs61787565_profile_position.png",4,220,900)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-0.0254037894</v>
      </c>
      <c r="G16" t="n">
        <v>0.472094229189618</v>
      </c>
      <c r="H16" t="n">
        <v>0.0484700173193056</v>
      </c>
      <c r="I16" t="n">
        <v>0.0046933673123946</v>
      </c>
      <c r="J16" t="n">
        <v>0.0474297540278313</v>
      </c>
      <c r="K16" t="n">
        <v>0.4497233674272582</v>
      </c>
      <c r="L16" t="b">
        <v>1</v>
      </c>
      <c r="M16" t="b">
        <v>0</v>
      </c>
      <c r="N16" t="inlineStr">
        <is>
          <t>ref</t>
        </is>
      </c>
      <c r="O16" t="n">
        <v>95</v>
      </c>
      <c r="P16" t="n">
        <v>0.008279999999999999</v>
      </c>
      <c r="Q16" t="n">
        <v>80</v>
      </c>
      <c r="R16" t="n">
        <v>0.05505</v>
      </c>
      <c r="S16">
        <f>IMAGE("https://mitra.stanford.edu/kundaje/oak/projects/neuro-variants/variant_position/credible/roussos_2024/variant_figures/roussos_2024.adolescence.Astrocyte/rs113507743_count_position.png",4,220,900)</f>
        <v/>
      </c>
      <c r="T16">
        <f>IMAGE("https://mitra.stanford.edu/kundaje/oak/projects/neuro-variants/variant_position/credible/roussos_2024/variant_figures/roussos_2024.adolescence.Astrocyte/rs113507743_profile_position.png",4,220,900)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-0.24869626</v>
      </c>
      <c r="G17" t="n">
        <v>0.0114626268764756</v>
      </c>
      <c r="H17" t="n">
        <v>0.0315163931138685</v>
      </c>
      <c r="I17" t="n">
        <v>0.028370946923575</v>
      </c>
      <c r="J17" t="n">
        <v>0.171656084028128</v>
      </c>
      <c r="K17" t="n">
        <v>0.2392467044484194</v>
      </c>
      <c r="L17" t="b">
        <v>1</v>
      </c>
      <c r="M17" t="b">
        <v>0</v>
      </c>
      <c r="N17" t="inlineStr">
        <is>
          <t>ref</t>
        </is>
      </c>
      <c r="O17" t="n">
        <v>-95</v>
      </c>
      <c r="P17" t="n">
        <v>0.001293</v>
      </c>
      <c r="Q17" t="n">
        <v>55</v>
      </c>
      <c r="R17" t="n">
        <v>0.0906</v>
      </c>
      <c r="S17">
        <f>IMAGE("https://mitra.stanford.edu/kundaje/oak/projects/neuro-variants/variant_position/credible/roussos_2024/variant_figures/roussos_2024.adolescence.Astrocyte/rs61787581_count_position.png",4,220,900)</f>
        <v/>
      </c>
      <c r="T17">
        <f>IMAGE("https://mitra.stanford.edu/kundaje/oak/projects/neuro-variants/variant_position/credible/roussos_2024/variant_figures/roussos_2024.adolescence.Astrocyte/rs61787581_profile_position.png",4,220,900)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0.0105874405</v>
      </c>
      <c r="G18" t="n">
        <v>0.6576310193400868</v>
      </c>
      <c r="H18" t="n">
        <v>0.0176116101496089</v>
      </c>
      <c r="I18" t="n">
        <v>0.2070198468438472</v>
      </c>
      <c r="J18" t="n">
        <v>0.1593137109456131</v>
      </c>
      <c r="K18" t="n">
        <v>0.2491809573053776</v>
      </c>
      <c r="L18" t="b">
        <v>0</v>
      </c>
      <c r="M18" t="b">
        <v>0</v>
      </c>
      <c r="N18" t="inlineStr">
        <is>
          <t>alt</t>
        </is>
      </c>
      <c r="O18" t="n">
        <v>100</v>
      </c>
      <c r="P18" t="n">
        <v>0.00962</v>
      </c>
      <c r="Q18" t="n">
        <v>100</v>
      </c>
      <c r="R18" t="n">
        <v>0.255</v>
      </c>
      <c r="S18">
        <f>IMAGE("https://mitra.stanford.edu/kundaje/oak/projects/neuro-variants/variant_position/credible/roussos_2024/variant_figures/roussos_2024.adolescence.Astrocyte/rs569356_count_position.png",4,220,900)</f>
        <v/>
      </c>
      <c r="T18">
        <f>IMAGE("https://mitra.stanford.edu/kundaje/oak/projects/neuro-variants/variant_position/credible/roussos_2024/variant_figures/roussos_2024.adolescence.Astrocyte/rs569356_profile_position.png",4,220,900)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-0.0055665697</v>
      </c>
      <c r="G19" t="n">
        <v>0.554183589466731</v>
      </c>
      <c r="H19" t="n">
        <v>0.0148211498280589</v>
      </c>
      <c r="I19" t="n">
        <v>0.3357236689662459</v>
      </c>
      <c r="J19" t="n">
        <v>0.3336817197282141</v>
      </c>
      <c r="K19" t="n">
        <v>0.1165284857500452</v>
      </c>
      <c r="L19" t="b">
        <v>0</v>
      </c>
      <c r="M19" t="b">
        <v>0</v>
      </c>
      <c r="N19" t="inlineStr">
        <is>
          <t>ref</t>
        </is>
      </c>
      <c r="O19" t="n">
        <v>70</v>
      </c>
      <c r="P19" t="n">
        <v>0.01868</v>
      </c>
      <c r="Q19" t="n">
        <v>45</v>
      </c>
      <c r="R19" t="n">
        <v>0.133</v>
      </c>
      <c r="S19">
        <f>IMAGE("https://mitra.stanford.edu/kundaje/oak/projects/neuro-variants/variant_position/credible/roussos_2024/variant_figures/roussos_2024.adolescence.Astrocyte/rs533123_count_position.png",4,220,900)</f>
        <v/>
      </c>
      <c r="T19">
        <f>IMAGE("https://mitra.stanford.edu/kundaje/oak/projects/neuro-variants/variant_position/credible/roussos_2024/variant_figures/roussos_2024.adolescence.Astrocyte/rs533123_profile_position.png",4,220,900)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0.0251728338</v>
      </c>
      <c r="G20" t="n">
        <v>0.4473604795534193</v>
      </c>
      <c r="H20" t="n">
        <v>0.010304265189782</v>
      </c>
      <c r="I20" t="n">
        <v>0.7266935189781845</v>
      </c>
      <c r="J20" t="n">
        <v>0.0750140937008574</v>
      </c>
      <c r="K20" t="n">
        <v>0.3867315801603719</v>
      </c>
      <c r="L20" t="b">
        <v>0</v>
      </c>
      <c r="M20" t="b">
        <v>0</v>
      </c>
      <c r="N20" t="inlineStr">
        <is>
          <t>alt</t>
        </is>
      </c>
      <c r="O20" t="n">
        <v>100</v>
      </c>
      <c r="P20" t="n">
        <v>0.02448</v>
      </c>
      <c r="Q20" t="n">
        <v>5</v>
      </c>
      <c r="R20" t="n">
        <v>0.0105</v>
      </c>
      <c r="S20">
        <f>IMAGE("https://mitra.stanford.edu/kundaje/oak/projects/neuro-variants/variant_position/credible/roussos_2024/variant_figures/roussos_2024.adolescence.Astrocyte/rs369247_count_position.png",4,220,900)</f>
        <v/>
      </c>
      <c r="T20">
        <f>IMAGE("https://mitra.stanford.edu/kundaje/oak/projects/neuro-variants/variant_position/credible/roussos_2024/variant_figures/roussos_2024.adolescence.Astrocyte/rs369247_profile_position.png",4,220,900)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-0.0388899083999999</v>
      </c>
      <c r="G21" t="n">
        <v>0.3246267188948759</v>
      </c>
      <c r="H21" t="n">
        <v>0.0237891039363767</v>
      </c>
      <c r="I21" t="n">
        <v>0.07537171940235909</v>
      </c>
      <c r="J21" t="n">
        <v>0.009884134943476799</v>
      </c>
      <c r="K21" t="n">
        <v>0.6796504044347442</v>
      </c>
      <c r="L21" t="b">
        <v>0</v>
      </c>
      <c r="M21" t="b">
        <v>0</v>
      </c>
      <c r="N21" t="inlineStr">
        <is>
          <t>ref</t>
        </is>
      </c>
      <c r="O21" t="n">
        <v>-70</v>
      </c>
      <c r="P21" t="n">
        <v>0.01279</v>
      </c>
      <c r="Q21" t="n">
        <v>100</v>
      </c>
      <c r="R21" t="n">
        <v>0.1918</v>
      </c>
      <c r="S21">
        <f>IMAGE("https://mitra.stanford.edu/kundaje/oak/projects/neuro-variants/variant_position/credible/roussos_2024/variant_figures/roussos_2024.adolescence.Astrocyte/rs4654375_count_position.png",4,220,900)</f>
        <v/>
      </c>
      <c r="T21">
        <f>IMAGE("https://mitra.stanford.edu/kundaje/oak/projects/neuro-variants/variant_position/credible/roussos_2024/variant_figures/roussos_2024.adolescence.Astrocyte/rs4654375_profile_position.png",4,220,900)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-0.00300206</v>
      </c>
      <c r="G22" t="n">
        <v>0.5996350655953754</v>
      </c>
      <c r="H22" t="n">
        <v>0.0104034979153762</v>
      </c>
      <c r="I22" t="n">
        <v>0.7088570536092157</v>
      </c>
      <c r="J22" t="n">
        <v>0.0101482063911224</v>
      </c>
      <c r="K22" t="n">
        <v>0.6709708743193413</v>
      </c>
      <c r="L22" t="b">
        <v>0</v>
      </c>
      <c r="M22" t="b">
        <v>0</v>
      </c>
      <c r="N22" t="inlineStr">
        <is>
          <t>ref</t>
        </is>
      </c>
      <c r="O22" t="n">
        <v>-100</v>
      </c>
      <c r="P22" t="n">
        <v>0.001354</v>
      </c>
      <c r="Q22" t="n">
        <v>100</v>
      </c>
      <c r="R22" t="n">
        <v>0.11615</v>
      </c>
      <c r="S22">
        <f>IMAGE("https://mitra.stanford.edu/kundaje/oak/projects/neuro-variants/variant_position/credible/roussos_2024/variant_figures/roussos_2024.adolescence.Astrocyte/rs2236859_count_position.png",4,220,900)</f>
        <v/>
      </c>
      <c r="T22">
        <f>IMAGE("https://mitra.stanford.edu/kundaje/oak/projects/neuro-variants/variant_position/credible/roussos_2024/variant_figures/roussos_2024.adolescence.Astrocyte/rs2236859_profile_position.png",4,220,900)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-0.792204926</v>
      </c>
      <c r="G23" t="n">
        <v>0.000150869688902</v>
      </c>
      <c r="H23" t="n">
        <v>0.0466270478950374</v>
      </c>
      <c r="I23" t="n">
        <v>0.0053181701793403</v>
      </c>
      <c r="J23" t="n">
        <v>0.808942082307213</v>
      </c>
      <c r="K23" t="n">
        <v>0.0064694123923843</v>
      </c>
      <c r="L23" t="b">
        <v>1</v>
      </c>
      <c r="M23" t="b">
        <v>1</v>
      </c>
      <c r="N23" t="inlineStr">
        <is>
          <t>ref</t>
        </is>
      </c>
      <c r="O23" t="n">
        <v>75</v>
      </c>
      <c r="P23" t="n">
        <v>0.012085</v>
      </c>
      <c r="Q23" t="n">
        <v>75</v>
      </c>
      <c r="R23" t="n">
        <v>0.1367</v>
      </c>
      <c r="S23">
        <f>IMAGE("https://mitra.stanford.edu/kundaje/oak/projects/neuro-variants/variant_position/credible/roussos_2024/variant_figures/roussos_2024.adolescence.Astrocyte/rs2236855_count_position.png",4,220,900)</f>
        <v/>
      </c>
      <c r="T23">
        <f>IMAGE("https://mitra.stanford.edu/kundaje/oak/projects/neuro-variants/variant_position/credible/roussos_2024/variant_figures/roussos_2024.adolescence.Astrocyte/rs2236855_profile_position.png",4,220,900)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0.1034932474</v>
      </c>
      <c r="G24" t="n">
        <v>0.0814391776003285</v>
      </c>
      <c r="H24" t="n">
        <v>0.0206011966724344</v>
      </c>
      <c r="I24" t="n">
        <v>0.130229510237892</v>
      </c>
      <c r="J24" t="n">
        <v>0.5171861555351155</v>
      </c>
      <c r="K24" t="n">
        <v>0.0517314109962888</v>
      </c>
      <c r="L24" t="b">
        <v>0</v>
      </c>
      <c r="M24" t="b">
        <v>0</v>
      </c>
      <c r="N24" t="inlineStr">
        <is>
          <t>alt</t>
        </is>
      </c>
      <c r="O24" t="n">
        <v>0</v>
      </c>
      <c r="P24" t="n">
        <v>0</v>
      </c>
      <c r="Q24" t="n">
        <v>65</v>
      </c>
      <c r="R24" t="n">
        <v>0.03357</v>
      </c>
      <c r="S24">
        <f>IMAGE("https://mitra.stanford.edu/kundaje/oak/projects/neuro-variants/variant_position/credible/roussos_2024/variant_figures/roussos_2024.adolescence.Astrocyte/rs760588_count_position.png",4,220,900)</f>
        <v/>
      </c>
      <c r="T24">
        <f>IMAGE("https://mitra.stanford.edu/kundaje/oak/projects/neuro-variants/variant_position/credible/roussos_2024/variant_figures/roussos_2024.adolescence.Astrocyte/rs760588_profile_position.png",4,220,900)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-0.0320291489599999</v>
      </c>
      <c r="G25" t="n">
        <v>0.3920810473212988</v>
      </c>
      <c r="H25" t="n">
        <v>0.0112624598587432</v>
      </c>
      <c r="I25" t="n">
        <v>0.6112923945091854</v>
      </c>
      <c r="J25" t="n">
        <v>0.051144556864374</v>
      </c>
      <c r="K25" t="n">
        <v>0.4424917538601854</v>
      </c>
      <c r="L25" t="b">
        <v>0</v>
      </c>
      <c r="M25" t="b">
        <v>0</v>
      </c>
      <c r="N25" t="inlineStr">
        <is>
          <t>ref</t>
        </is>
      </c>
      <c r="O25" t="n">
        <v>65</v>
      </c>
      <c r="P25" t="n">
        <v>0.06158</v>
      </c>
      <c r="Q25" t="n">
        <v>-30</v>
      </c>
      <c r="R25" t="n">
        <v>0.03958</v>
      </c>
      <c r="S25">
        <f>IMAGE("https://mitra.stanford.edu/kundaje/oak/projects/neuro-variants/variant_position/credible/roussos_2024/variant_figures/roussos_2024.adolescence.Astrocyte/rs4233254_count_position.png",4,220,900)</f>
        <v/>
      </c>
      <c r="T25">
        <f>IMAGE("https://mitra.stanford.edu/kundaje/oak/projects/neuro-variants/variant_position/credible/roussos_2024/variant_figures/roussos_2024.adolescence.Astrocyte/rs4233254_profile_position.png",4,220,900)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0.0200311137</v>
      </c>
      <c r="G26" t="n">
        <v>0.5416980433387755</v>
      </c>
      <c r="H26" t="n">
        <v>0.0271467503589309</v>
      </c>
      <c r="I26" t="n">
        <v>0.04595128837204</v>
      </c>
      <c r="J26" t="n">
        <v>0.0005459454647953</v>
      </c>
      <c r="K26" t="n">
        <v>0.9085125914750593</v>
      </c>
      <c r="L26" t="b">
        <v>0</v>
      </c>
      <c r="M26" t="b">
        <v>0</v>
      </c>
      <c r="N26" t="inlineStr">
        <is>
          <t>alt</t>
        </is>
      </c>
      <c r="O26" t="n">
        <v>-70</v>
      </c>
      <c r="P26" t="n">
        <v>0.02298</v>
      </c>
      <c r="Q26" t="n">
        <v>-100</v>
      </c>
      <c r="R26" t="n">
        <v>0.1582</v>
      </c>
      <c r="S26">
        <f>IMAGE("https://mitra.stanford.edu/kundaje/oak/projects/neuro-variants/variant_position/credible/roussos_2024/variant_figures/roussos_2024.adolescence.Astrocyte/rs150082_count_position.png",4,220,900)</f>
        <v/>
      </c>
      <c r="T26">
        <f>IMAGE("https://mitra.stanford.edu/kundaje/oak/projects/neuro-variants/variant_position/credible/roussos_2024/variant_figures/roussos_2024.adolescence.Astrocyte/rs150082_profile_position.png",4,220,900)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0.0132099036</v>
      </c>
      <c r="G27" t="n">
        <v>0.5604961601074813</v>
      </c>
      <c r="H27" t="n">
        <v>0.0111632983742765</v>
      </c>
      <c r="I27" t="n">
        <v>0.6278182293379725</v>
      </c>
      <c r="J27" t="n">
        <v>0.1092046702073999</v>
      </c>
      <c r="K27" t="n">
        <v>0.3073084000274406</v>
      </c>
      <c r="L27" t="b">
        <v>0</v>
      </c>
      <c r="M27" t="b">
        <v>0</v>
      </c>
      <c r="N27" t="inlineStr">
        <is>
          <t>alt</t>
        </is>
      </c>
      <c r="O27" t="n">
        <v>100</v>
      </c>
      <c r="P27" t="n">
        <v>0.01161</v>
      </c>
      <c r="Q27" t="n">
        <v>90</v>
      </c>
      <c r="R27" t="n">
        <v>0.03796</v>
      </c>
      <c r="S27">
        <f>IMAGE("https://mitra.stanford.edu/kundaje/oak/projects/neuro-variants/variant_position/credible/roussos_2024/variant_figures/roussos_2024.adolescence.Astrocyte/rs3102739_count_position.png",4,220,900)</f>
        <v/>
      </c>
      <c r="T27">
        <f>IMAGE("https://mitra.stanford.edu/kundaje/oak/projects/neuro-variants/variant_position/credible/roussos_2024/variant_figures/roussos_2024.adolescence.Astrocyte/rs3102739_profile_position.png",4,220,900)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0.37875004</v>
      </c>
      <c r="G28" t="n">
        <v>0.0035603233874915</v>
      </c>
      <c r="H28" t="n">
        <v>0.0485896853742981</v>
      </c>
      <c r="I28" t="n">
        <v>0.0053600086912578</v>
      </c>
      <c r="J28" t="n">
        <v>0.5617378274931015</v>
      </c>
      <c r="K28" t="n">
        <v>0.0412349038960694</v>
      </c>
      <c r="L28" t="b">
        <v>1</v>
      </c>
      <c r="M28" t="b">
        <v>1</v>
      </c>
      <c r="N28" t="inlineStr">
        <is>
          <t>alt</t>
        </is>
      </c>
      <c r="O28" t="n">
        <v>75</v>
      </c>
      <c r="P28" t="n">
        <v>0.001862</v>
      </c>
      <c r="Q28" t="n">
        <v>35</v>
      </c>
      <c r="R28" t="n">
        <v>0.08594</v>
      </c>
      <c r="S28">
        <f>IMAGE("https://mitra.stanford.edu/kundaje/oak/projects/neuro-variants/variant_position/credible/roussos_2024/variant_figures/roussos_2024.adolescence.Astrocyte/rs2985339_count_position.png",4,220,900)</f>
        <v/>
      </c>
      <c r="T28">
        <f>IMAGE("https://mitra.stanford.edu/kundaje/oak/projects/neuro-variants/variant_position/credible/roussos_2024/variant_figures/roussos_2024.adolescence.Astrocyte/rs2985339_profile_position.png",4,220,900)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0.0001197190599999</v>
      </c>
      <c r="G29" t="n">
        <v>0.7888353334190867</v>
      </c>
      <c r="H29" t="n">
        <v>0.0372821645153422</v>
      </c>
      <c r="I29" t="n">
        <v>0.0128481704122106</v>
      </c>
      <c r="J29" t="n">
        <v>0.006731596593775</v>
      </c>
      <c r="K29" t="n">
        <v>0.7209474815891516</v>
      </c>
      <c r="L29" t="b">
        <v>0</v>
      </c>
      <c r="M29" t="b">
        <v>0</v>
      </c>
      <c r="N29" t="inlineStr">
        <is>
          <t>alt</t>
        </is>
      </c>
      <c r="O29" t="n">
        <v>90</v>
      </c>
      <c r="P29" t="n">
        <v>0.0208</v>
      </c>
      <c r="Q29" t="n">
        <v>-100</v>
      </c>
      <c r="R29" t="n">
        <v>0.1573</v>
      </c>
      <c r="S29">
        <f>IMAGE("https://mitra.stanford.edu/kundaje/oak/projects/neuro-variants/variant_position/credible/roussos_2024/variant_figures/roussos_2024.adolescence.Astrocyte/rs7513398_count_position.png",4,220,900)</f>
        <v/>
      </c>
      <c r="T29">
        <f>IMAGE("https://mitra.stanford.edu/kundaje/oak/projects/neuro-variants/variant_position/credible/roussos_2024/variant_figures/roussos_2024.adolescence.Astrocyte/rs7513398_profile_position.png",4,220,900)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-0.0051744037832</v>
      </c>
      <c r="G30" t="n">
        <v>0.8727369106737914</v>
      </c>
      <c r="H30" t="n">
        <v>0.0111283101577028</v>
      </c>
      <c r="I30" t="n">
        <v>0.6320059818453913</v>
      </c>
      <c r="J30" t="n">
        <v>0.0017053378037563</v>
      </c>
      <c r="K30" t="n">
        <v>0.8371094665944205</v>
      </c>
      <c r="L30" t="b">
        <v>0</v>
      </c>
      <c r="M30" t="b">
        <v>0</v>
      </c>
      <c r="N30" t="inlineStr">
        <is>
          <t>ref</t>
        </is>
      </c>
      <c r="O30" t="n">
        <v>-35</v>
      </c>
      <c r="P30" t="n">
        <v>0.00456</v>
      </c>
      <c r="Q30" t="n">
        <v>5</v>
      </c>
      <c r="R30" t="n">
        <v>0.00769</v>
      </c>
      <c r="S30">
        <f>IMAGE("https://mitra.stanford.edu/kundaje/oak/projects/neuro-variants/variant_position/credible/roussos_2024/variant_figures/roussos_2024.adolescence.Astrocyte/rs2486201_count_position.png",4,220,900)</f>
        <v/>
      </c>
      <c r="T30">
        <f>IMAGE("https://mitra.stanford.edu/kundaje/oak/projects/neuro-variants/variant_position/credible/roussos_2024/variant_figures/roussos_2024.adolescence.Astrocyte/rs2486201_profile_position.png",4,220,900)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-0.17010045</v>
      </c>
      <c r="G31" t="n">
        <v>0.0327437040048349</v>
      </c>
      <c r="H31" t="n">
        <v>0.0222420587466261</v>
      </c>
      <c r="I31" t="n">
        <v>0.100703158212321</v>
      </c>
      <c r="J31" t="n">
        <v>0.731544669613981</v>
      </c>
      <c r="K31" t="n">
        <v>0.0147463773912022</v>
      </c>
      <c r="L31" t="b">
        <v>0</v>
      </c>
      <c r="M31" t="b">
        <v>0</v>
      </c>
      <c r="N31" t="inlineStr">
        <is>
          <t>ref</t>
        </is>
      </c>
      <c r="O31" t="n">
        <v>100</v>
      </c>
      <c r="P31" t="n">
        <v>0.005463</v>
      </c>
      <c r="Q31" t="n">
        <v>-25</v>
      </c>
      <c r="R31" t="n">
        <v>0.0415</v>
      </c>
      <c r="S31">
        <f>IMAGE("https://mitra.stanford.edu/kundaje/oak/projects/neuro-variants/variant_position/credible/roussos_2024/variant_figures/roussos_2024.adolescence.Astrocyte/rs10914662_count_position.png",4,220,900)</f>
        <v/>
      </c>
      <c r="T31">
        <f>IMAGE("https://mitra.stanford.edu/kundaje/oak/projects/neuro-variants/variant_position/credible/roussos_2024/variant_figures/roussos_2024.adolescence.Astrocyte/rs10914662_profile_position.png",4,220,900)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-0.0068701875999999</v>
      </c>
      <c r="G32" t="n">
        <v>0.4109906930911805</v>
      </c>
      <c r="H32" t="n">
        <v>0.0262419706604464</v>
      </c>
      <c r="I32" t="n">
        <v>0.0545553294356626</v>
      </c>
      <c r="J32" t="n">
        <v>0.2150572649319051</v>
      </c>
      <c r="K32" t="n">
        <v>0.1935223186599562</v>
      </c>
      <c r="L32" t="b">
        <v>0</v>
      </c>
      <c r="M32" t="b">
        <v>0</v>
      </c>
      <c r="N32" t="inlineStr">
        <is>
          <t>ref</t>
        </is>
      </c>
      <c r="O32" t="n">
        <v>-20</v>
      </c>
      <c r="P32" t="n">
        <v>0.001862</v>
      </c>
      <c r="Q32" t="n">
        <v>35</v>
      </c>
      <c r="R32" t="n">
        <v>0.04834</v>
      </c>
      <c r="S32">
        <f>IMAGE("https://mitra.stanford.edu/kundaje/oak/projects/neuro-variants/variant_position/credible/roussos_2024/variant_figures/roussos_2024.adolescence.Astrocyte/rs56335113_count_position.png",4,220,900)</f>
        <v/>
      </c>
      <c r="T32">
        <f>IMAGE("https://mitra.stanford.edu/kundaje/oak/projects/neuro-variants/variant_position/credible/roussos_2024/variant_figures/roussos_2024.adolescence.Astrocyte/rs56335113_profile_position.png",4,220,900)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-0.0032589484599999</v>
      </c>
      <c r="G33" t="n">
        <v>0.6075191294038715</v>
      </c>
      <c r="H33" t="n">
        <v>0.0112639321686634</v>
      </c>
      <c r="I33" t="n">
        <v>0.6290092403467429</v>
      </c>
      <c r="J33" t="n">
        <v>0.0191288609322611</v>
      </c>
      <c r="K33" t="n">
        <v>0.5875781562690822</v>
      </c>
      <c r="L33" t="b">
        <v>0</v>
      </c>
      <c r="M33" t="b">
        <v>0</v>
      </c>
      <c r="N33" t="inlineStr">
        <is>
          <t>ref</t>
        </is>
      </c>
      <c r="O33" t="n">
        <v>-100</v>
      </c>
      <c r="P33" t="n">
        <v>0.002792</v>
      </c>
      <c r="Q33" t="n">
        <v>-20</v>
      </c>
      <c r="R33" t="n">
        <v>0.03873</v>
      </c>
      <c r="S33">
        <f>IMAGE("https://mitra.stanford.edu/kundaje/oak/projects/neuro-variants/variant_position/credible/roussos_2024/variant_figures/roussos_2024.adolescence.Astrocyte/rs1009080_count_position.png",4,220,900)</f>
        <v/>
      </c>
      <c r="T33">
        <f>IMAGE("https://mitra.stanford.edu/kundaje/oak/projects/neuro-variants/variant_position/credible/roussos_2024/variant_figures/roussos_2024.adolescence.Astrocyte/rs1009080_profile_position.png",4,220,900)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-0.0189560885459999</v>
      </c>
      <c r="G34" t="n">
        <v>0.4966960213086026</v>
      </c>
      <c r="H34" t="n">
        <v>0.0121105914952795</v>
      </c>
      <c r="I34" t="n">
        <v>0.54775709605895</v>
      </c>
      <c r="J34" t="n">
        <v>0.6731255377859537</v>
      </c>
      <c r="K34" t="n">
        <v>0.0211429464814731</v>
      </c>
      <c r="L34" t="b">
        <v>0</v>
      </c>
      <c r="M34" t="b">
        <v>0</v>
      </c>
      <c r="N34" t="inlineStr">
        <is>
          <t>ref</t>
        </is>
      </c>
      <c r="O34" t="n">
        <v>55</v>
      </c>
      <c r="P34" t="n">
        <v>0.001701</v>
      </c>
      <c r="Q34" t="n">
        <v>25</v>
      </c>
      <c r="R34" t="n">
        <v>0.0542</v>
      </c>
      <c r="S34">
        <f>IMAGE("https://mitra.stanford.edu/kundaje/oak/projects/neuro-variants/variant_position/credible/roussos_2024/variant_figures/roussos_2024.adolescence.Astrocyte/rs6679167_count_position.png",4,220,900)</f>
        <v/>
      </c>
      <c r="T34">
        <f>IMAGE("https://mitra.stanford.edu/kundaje/oak/projects/neuro-variants/variant_position/credible/roussos_2024/variant_figures/roussos_2024.adolescence.Astrocyte/rs6679167_profile_position.png",4,220,900)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0.0299055102</v>
      </c>
      <c r="G35" t="n">
        <v>0.1018068814757154</v>
      </c>
      <c r="H35" t="n">
        <v>0.0238454433897241</v>
      </c>
      <c r="I35" t="n">
        <v>0.07492292066080219</v>
      </c>
      <c r="J35" t="n">
        <v>0.6669450790730795</v>
      </c>
      <c r="K35" t="n">
        <v>0.0217822315246335</v>
      </c>
      <c r="L35" t="b">
        <v>0</v>
      </c>
      <c r="M35" t="b">
        <v>0</v>
      </c>
      <c r="N35" t="inlineStr">
        <is>
          <t>alt</t>
        </is>
      </c>
      <c r="O35" t="n">
        <v>-70</v>
      </c>
      <c r="P35" t="n">
        <v>0.005997</v>
      </c>
      <c r="Q35" t="n">
        <v>-40</v>
      </c>
      <c r="R35" t="n">
        <v>0.08495999999999999</v>
      </c>
      <c r="S35">
        <f>IMAGE("https://mitra.stanford.edu/kundaje/oak/projects/neuro-variants/variant_position/credible/roussos_2024/variant_figures/roussos_2024.adolescence.Astrocyte/rs1498232_count_position.png",4,220,900)</f>
        <v/>
      </c>
      <c r="T35">
        <f>IMAGE("https://mitra.stanford.edu/kundaje/oak/projects/neuro-variants/variant_position/credible/roussos_2024/variant_figures/roussos_2024.adolescence.Astrocyte/rs1498232_profile_position.png",4,220,900)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-0.1775415872</v>
      </c>
      <c r="G36" t="n">
        <v>0.0285463133078149</v>
      </c>
      <c r="H36" t="n">
        <v>0.0234684234958216</v>
      </c>
      <c r="I36" t="n">
        <v>0.0792786458601335</v>
      </c>
      <c r="J36" t="n">
        <v>0.0151180903777111</v>
      </c>
      <c r="K36" t="n">
        <v>0.6533335941194184</v>
      </c>
      <c r="L36" t="b">
        <v>0</v>
      </c>
      <c r="M36" t="b">
        <v>0</v>
      </c>
      <c r="N36" t="inlineStr">
        <is>
          <t>ref</t>
        </is>
      </c>
      <c r="O36" t="n">
        <v>90</v>
      </c>
      <c r="P36" t="n">
        <v>0.004257</v>
      </c>
      <c r="Q36" t="n">
        <v>100</v>
      </c>
      <c r="R36" t="n">
        <v>0.1658</v>
      </c>
      <c r="S36">
        <f>IMAGE("https://mitra.stanford.edu/kundaje/oak/projects/neuro-variants/variant_position/credible/roussos_2024/variant_figures/roussos_2024.adolescence.Astrocyte/rs10127492_count_position.png",4,220,900)</f>
        <v/>
      </c>
      <c r="T36">
        <f>IMAGE("https://mitra.stanford.edu/kundaje/oak/projects/neuro-variants/variant_position/credible/roussos_2024/variant_figures/roussos_2024.adolescence.Astrocyte/rs10127492_profile_position.png",4,220,900)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0.0306004249999999</v>
      </c>
      <c r="G37" t="n">
        <v>0.3830850068335286</v>
      </c>
      <c r="H37" t="n">
        <v>0.0116226070332831</v>
      </c>
      <c r="I37" t="n">
        <v>0.5889312960325854</v>
      </c>
      <c r="J37" t="n">
        <v>3.931400765510489e-05</v>
      </c>
      <c r="K37" t="n">
        <v>0.9960646773314606</v>
      </c>
      <c r="L37" t="b">
        <v>0</v>
      </c>
      <c r="M37" t="b">
        <v>0</v>
      </c>
      <c r="N37" t="inlineStr">
        <is>
          <t>alt</t>
        </is>
      </c>
      <c r="O37" t="n">
        <v>95</v>
      </c>
      <c r="P37" t="n">
        <v>0.00423</v>
      </c>
      <c r="Q37" t="n">
        <v>30</v>
      </c>
      <c r="R37" t="n">
        <v>0.08935999999999999</v>
      </c>
      <c r="S37">
        <f>IMAGE("https://mitra.stanford.edu/kundaje/oak/projects/neuro-variants/variant_position/credible/roussos_2024/variant_figures/roussos_2024.adolescence.Astrocyte/rs10798981_count_position.png",4,220,900)</f>
        <v/>
      </c>
      <c r="T37">
        <f>IMAGE("https://mitra.stanford.edu/kundaje/oak/projects/neuro-variants/variant_position/credible/roussos_2024/variant_figures/roussos_2024.adolescence.Astrocyte/rs10798981_profile_position.png",4,220,900)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-0.1470613112</v>
      </c>
      <c r="G38" t="n">
        <v>0.0337923751386092</v>
      </c>
      <c r="H38" t="n">
        <v>0.0171971000066259</v>
      </c>
      <c r="I38" t="n">
        <v>0.2218252893387508</v>
      </c>
      <c r="J38" t="n">
        <v>0.4369158531881434</v>
      </c>
      <c r="K38" t="n">
        <v>0.0749002361436288</v>
      </c>
      <c r="L38" t="b">
        <v>0</v>
      </c>
      <c r="M38" t="b">
        <v>0</v>
      </c>
      <c r="N38" t="inlineStr">
        <is>
          <t>ref</t>
        </is>
      </c>
      <c r="O38" t="n">
        <v>50</v>
      </c>
      <c r="P38" t="n">
        <v>0.008789999999999999</v>
      </c>
      <c r="Q38" t="n">
        <v>35</v>
      </c>
      <c r="R38" t="n">
        <v>0.05957</v>
      </c>
      <c r="S38">
        <f>IMAGE("https://mitra.stanford.edu/kundaje/oak/projects/neuro-variants/variant_position/credible/roussos_2024/variant_figures/roussos_2024.adolescence.Astrocyte/rs143052415_count_position.png",4,220,900)</f>
        <v/>
      </c>
      <c r="T38">
        <f>IMAGE("https://mitra.stanford.edu/kundaje/oak/projects/neuro-variants/variant_position/credible/roussos_2024/variant_figures/roussos_2024.adolescence.Astrocyte/rs143052415_profile_position.png",4,220,900)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-0.08625129099999999</v>
      </c>
      <c r="G39" t="n">
        <v>0.1031391836994514</v>
      </c>
      <c r="H39" t="n">
        <v>0.0120571793283511</v>
      </c>
      <c r="I39" t="n">
        <v>0.5469008123835767</v>
      </c>
      <c r="J39" t="n">
        <v>0.0072478711093967</v>
      </c>
      <c r="K39" t="n">
        <v>0.7146386666070863</v>
      </c>
      <c r="L39" t="b">
        <v>0</v>
      </c>
      <c r="M39" t="b">
        <v>0</v>
      </c>
      <c r="N39" t="inlineStr">
        <is>
          <t>ref</t>
        </is>
      </c>
      <c r="O39" t="n">
        <v>-80</v>
      </c>
      <c r="P39" t="n">
        <v>0.000538</v>
      </c>
      <c r="Q39" t="n">
        <v>-70</v>
      </c>
      <c r="R39" t="n">
        <v>0.093</v>
      </c>
      <c r="S39">
        <f>IMAGE("https://mitra.stanford.edu/kundaje/oak/projects/neuro-variants/variant_position/credible/roussos_2024/variant_figures/roussos_2024.adolescence.Astrocyte/rs1966008_count_position.png",4,220,900)</f>
        <v/>
      </c>
      <c r="T39">
        <f>IMAGE("https://mitra.stanford.edu/kundaje/oak/projects/neuro-variants/variant_position/credible/roussos_2024/variant_figures/roussos_2024.adolescence.Astrocyte/rs1966008_profile_position.png",4,220,900)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-0.0908418496</v>
      </c>
      <c r="G40" t="n">
        <v>0.108150743841997</v>
      </c>
      <c r="H40" t="n">
        <v>0.0155565114580928</v>
      </c>
      <c r="I40" t="n">
        <v>0.2977464384939777</v>
      </c>
      <c r="J40" t="n">
        <v>0.0080534373794617</v>
      </c>
      <c r="K40" t="n">
        <v>0.7068480129279862</v>
      </c>
      <c r="L40" t="b">
        <v>0</v>
      </c>
      <c r="M40" t="b">
        <v>0</v>
      </c>
      <c r="N40" t="inlineStr">
        <is>
          <t>ref</t>
        </is>
      </c>
      <c r="O40" t="n">
        <v>20</v>
      </c>
      <c r="P40" t="n">
        <v>0.001503</v>
      </c>
      <c r="Q40" t="n">
        <v>-100</v>
      </c>
      <c r="R40" t="n">
        <v>0.0534</v>
      </c>
      <c r="S40">
        <f>IMAGE("https://mitra.stanford.edu/kundaje/oak/projects/neuro-variants/variant_position/credible/roussos_2024/variant_figures/roussos_2024.adolescence.Astrocyte/rs1966007_count_position.png",4,220,900)</f>
        <v/>
      </c>
      <c r="T40">
        <f>IMAGE("https://mitra.stanford.edu/kundaje/oak/projects/neuro-variants/variant_position/credible/roussos_2024/variant_figures/roussos_2024.adolescence.Astrocyte/rs1966007_profile_position.png",4,220,900)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-0.0142744444</v>
      </c>
      <c r="G41" t="n">
        <v>0.2726421066680412</v>
      </c>
      <c r="H41" t="n">
        <v>0.0172924128395831</v>
      </c>
      <c r="I41" t="n">
        <v>0.2164018161738287</v>
      </c>
      <c r="J41" t="n">
        <v>0.0222999436251965</v>
      </c>
      <c r="K41" t="n">
        <v>0.5932181847253898</v>
      </c>
      <c r="L41" t="b">
        <v>0</v>
      </c>
      <c r="M41" t="b">
        <v>0</v>
      </c>
      <c r="N41" t="inlineStr">
        <is>
          <t>ref</t>
        </is>
      </c>
      <c r="O41" t="n">
        <v>-10</v>
      </c>
      <c r="P41" t="n">
        <v>0.00011444</v>
      </c>
      <c r="Q41" t="n">
        <v>100</v>
      </c>
      <c r="R41" t="n">
        <v>0.2104</v>
      </c>
      <c r="S41">
        <f>IMAGE("https://mitra.stanford.edu/kundaje/oak/projects/neuro-variants/variant_position/credible/roussos_2024/variant_figures/roussos_2024.adolescence.Astrocyte/rs616924_count_position.png",4,220,900)</f>
        <v/>
      </c>
      <c r="T41">
        <f>IMAGE("https://mitra.stanford.edu/kundaje/oak/projects/neuro-variants/variant_position/credible/roussos_2024/variant_figures/roussos_2024.adolescence.Astrocyte/rs616924_profile_position.png",4,220,900)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-0.09074139220000001</v>
      </c>
      <c r="G42" t="n">
        <v>0.103505626528074</v>
      </c>
      <c r="H42" t="n">
        <v>0.0326292020732327</v>
      </c>
      <c r="I42" t="n">
        <v>0.022425182469177</v>
      </c>
      <c r="J42" t="n">
        <v>0.3481826543631131</v>
      </c>
      <c r="K42" t="n">
        <v>0.1099775379447145</v>
      </c>
      <c r="L42" t="b">
        <v>0</v>
      </c>
      <c r="M42" t="b">
        <v>0</v>
      </c>
      <c r="N42" t="inlineStr">
        <is>
          <t>ref</t>
        </is>
      </c>
      <c r="O42" t="n">
        <v>95</v>
      </c>
      <c r="P42" t="n">
        <v>0.01605</v>
      </c>
      <c r="Q42" t="n">
        <v>15</v>
      </c>
      <c r="R42" t="n">
        <v>0.03662</v>
      </c>
      <c r="S42">
        <f>IMAGE("https://mitra.stanford.edu/kundaje/oak/projects/neuro-variants/variant_position/credible/roussos_2024/variant_figures/roussos_2024.adolescence.Astrocyte/rs28734113_count_position.png",4,220,900)</f>
        <v/>
      </c>
      <c r="T42">
        <f>IMAGE("https://mitra.stanford.edu/kundaje/oak/projects/neuro-variants/variant_position/credible/roussos_2024/variant_figures/roussos_2024.adolescence.Astrocyte/rs28734113_profile_position.png",4,220,900)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0.00894893406</v>
      </c>
      <c r="G43" t="n">
        <v>0.7602632297046128</v>
      </c>
      <c r="H43" t="n">
        <v>0.0339183173222087</v>
      </c>
      <c r="I43" t="n">
        <v>0.0189911367791414</v>
      </c>
      <c r="J43" t="n">
        <v>0.0122311070231136</v>
      </c>
      <c r="K43" t="n">
        <v>0.6387969004041749</v>
      </c>
      <c r="L43" t="b">
        <v>1</v>
      </c>
      <c r="M43" t="b">
        <v>0</v>
      </c>
      <c r="N43" t="inlineStr">
        <is>
          <t>alt</t>
        </is>
      </c>
      <c r="O43" t="n">
        <v>-100</v>
      </c>
      <c r="P43" t="n">
        <v>0.03096</v>
      </c>
      <c r="Q43" t="n">
        <v>45</v>
      </c>
      <c r="R43" t="n">
        <v>0.07525999999999999</v>
      </c>
      <c r="S43">
        <f>IMAGE("https://mitra.stanford.edu/kundaje/oak/projects/neuro-variants/variant_position/credible/roussos_2024/variant_figures/roussos_2024.adolescence.Astrocyte/rs12562583_count_position.png",4,220,900)</f>
        <v/>
      </c>
      <c r="T43">
        <f>IMAGE("https://mitra.stanford.edu/kundaje/oak/projects/neuro-variants/variant_position/credible/roussos_2024/variant_figures/roussos_2024.adolescence.Astrocyte/rs12562583_profile_position.png",4,220,900)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0.0302905468</v>
      </c>
      <c r="G44" t="n">
        <v>0.4048451736571117</v>
      </c>
      <c r="H44" t="n">
        <v>0.0159821873446171</v>
      </c>
      <c r="I44" t="n">
        <v>0.2742036562737255</v>
      </c>
      <c r="J44" t="n">
        <v>0.0218088894163724</v>
      </c>
      <c r="K44" t="n">
        <v>0.5745238063600123</v>
      </c>
      <c r="L44" t="b">
        <v>0</v>
      </c>
      <c r="M44" t="b">
        <v>0</v>
      </c>
      <c r="N44" t="inlineStr">
        <is>
          <t>alt</t>
        </is>
      </c>
      <c r="O44" t="n">
        <v>40</v>
      </c>
      <c r="P44" t="n">
        <v>0.006714</v>
      </c>
      <c r="Q44" t="n">
        <v>-85</v>
      </c>
      <c r="R44" t="n">
        <v>0.03268</v>
      </c>
      <c r="S44">
        <f>IMAGE("https://mitra.stanford.edu/kundaje/oak/projects/neuro-variants/variant_position/credible/roussos_2024/variant_figures/roussos_2024.adolescence.Astrocyte/rs6658453_count_position.png",4,220,900)</f>
        <v/>
      </c>
      <c r="T44">
        <f>IMAGE("https://mitra.stanford.edu/kundaje/oak/projects/neuro-variants/variant_position/credible/roussos_2024/variant_figures/roussos_2024.adolescence.Astrocyte/rs6658453_profile_position.png",4,220,900)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0.0950584691999999</v>
      </c>
      <c r="G45" t="n">
        <v>0.0925299407044507</v>
      </c>
      <c r="H45" t="n">
        <v>0.0146918826108461</v>
      </c>
      <c r="I45" t="n">
        <v>0.3265398345667046</v>
      </c>
      <c r="J45" t="n">
        <v>0.0451220959558495</v>
      </c>
      <c r="K45" t="n">
        <v>0.4599432415564815</v>
      </c>
      <c r="L45" t="b">
        <v>0</v>
      </c>
      <c r="M45" t="b">
        <v>0</v>
      </c>
      <c r="N45" t="inlineStr">
        <is>
          <t>alt</t>
        </is>
      </c>
      <c r="O45" t="n">
        <v>100</v>
      </c>
      <c r="P45" t="n">
        <v>0.00753</v>
      </c>
      <c r="Q45" t="n">
        <v>-90</v>
      </c>
      <c r="R45" t="n">
        <v>0.0781</v>
      </c>
      <c r="S45">
        <f>IMAGE("https://mitra.stanford.edu/kundaje/oak/projects/neuro-variants/variant_position/credible/roussos_2024/variant_figures/roussos_2024.adolescence.Astrocyte/rs11264194_count_position.png",4,220,900)</f>
        <v/>
      </c>
      <c r="T45">
        <f>IMAGE("https://mitra.stanford.edu/kundaje/oak/projects/neuro-variants/variant_position/credible/roussos_2024/variant_figures/roussos_2024.adolescence.Astrocyte/rs11264194_profile_position.png",4,220,900)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0.1033921092</v>
      </c>
      <c r="G46" t="n">
        <v>0.07607195494867409</v>
      </c>
      <c r="H46" t="n">
        <v>0.0154428088359398</v>
      </c>
      <c r="I46" t="n">
        <v>0.3005533761198483</v>
      </c>
      <c r="J46" t="n">
        <v>0.0070713289618134</v>
      </c>
      <c r="K46" t="n">
        <v>0.7046323778578242</v>
      </c>
      <c r="L46" t="b">
        <v>0</v>
      </c>
      <c r="M46" t="b">
        <v>0</v>
      </c>
      <c r="N46" t="inlineStr">
        <is>
          <t>alt</t>
        </is>
      </c>
      <c r="O46" t="n">
        <v>-90</v>
      </c>
      <c r="P46" t="n">
        <v>0.00966</v>
      </c>
      <c r="Q46" t="n">
        <v>80</v>
      </c>
      <c r="R46" t="n">
        <v>0.2029</v>
      </c>
      <c r="S46">
        <f>IMAGE("https://mitra.stanford.edu/kundaje/oak/projects/neuro-variants/variant_position/credible/roussos_2024/variant_figures/roussos_2024.adolescence.Astrocyte/rs16822339_count_position.png",4,220,900)</f>
        <v/>
      </c>
      <c r="T46">
        <f>IMAGE("https://mitra.stanford.edu/kundaje/oak/projects/neuro-variants/variant_position/credible/roussos_2024/variant_figures/roussos_2024.adolescence.Astrocyte/rs16822339_profile_position.png",4,220,900)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0.0799799678</v>
      </c>
      <c r="G47" t="n">
        <v>0.1306182987053376</v>
      </c>
      <c r="H47" t="n">
        <v>0.0133757833597888</v>
      </c>
      <c r="I47" t="n">
        <v>0.4367777127027323</v>
      </c>
      <c r="J47" t="n">
        <v>0.0505044061359522</v>
      </c>
      <c r="K47" t="n">
        <v>0.4608845864892078</v>
      </c>
      <c r="L47" t="b">
        <v>0</v>
      </c>
      <c r="M47" t="b">
        <v>0</v>
      </c>
      <c r="N47" t="inlineStr">
        <is>
          <t>alt</t>
        </is>
      </c>
      <c r="O47" t="n">
        <v>100</v>
      </c>
      <c r="P47" t="n">
        <v>0.0261</v>
      </c>
      <c r="Q47" t="n">
        <v>40</v>
      </c>
      <c r="R47" t="n">
        <v>0.06510000000000001</v>
      </c>
      <c r="S47">
        <f>IMAGE("https://mitra.stanford.edu/kundaje/oak/projects/neuro-variants/variant_position/credible/roussos_2024/variant_figures/roussos_2024.adolescence.Astrocyte/rs12037102_count_position.png",4,220,900)</f>
        <v/>
      </c>
      <c r="T47">
        <f>IMAGE("https://mitra.stanford.edu/kundaje/oak/projects/neuro-variants/variant_position/credible/roussos_2024/variant_figures/roussos_2024.adolescence.Astrocyte/rs12037102_profile_position.png",4,220,900)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-0.0309687044</v>
      </c>
      <c r="G48" t="n">
        <v>0.4156262271475759</v>
      </c>
      <c r="H48" t="n">
        <v>0.055970829427683</v>
      </c>
      <c r="I48" t="n">
        <v>0.0024745307118736</v>
      </c>
      <c r="J48" t="n">
        <v>0.1053110999020858</v>
      </c>
      <c r="K48" t="n">
        <v>0.3272038785019865</v>
      </c>
      <c r="L48" t="b">
        <v>1</v>
      </c>
      <c r="M48" t="b">
        <v>1</v>
      </c>
      <c r="N48" t="inlineStr">
        <is>
          <t>ref</t>
        </is>
      </c>
      <c r="O48" t="n">
        <v>100</v>
      </c>
      <c r="P48" t="n">
        <v>0.02673</v>
      </c>
      <c r="Q48" t="n">
        <v>100</v>
      </c>
      <c r="R48" t="n">
        <v>0.5264</v>
      </c>
      <c r="S48">
        <f>IMAGE("https://mitra.stanford.edu/kundaje/oak/projects/neuro-variants/variant_position/credible/roussos_2024/variant_figures/roussos_2024.adolescence.Astrocyte/rs515346_count_position.png",4,220,900)</f>
        <v/>
      </c>
      <c r="T48">
        <f>IMAGE("https://mitra.stanford.edu/kundaje/oak/projects/neuro-variants/variant_position/credible/roussos_2024/variant_figures/roussos_2024.adolescence.Astrocyte/rs515346_profile_position.png",4,220,900)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0.0006827094879999</v>
      </c>
      <c r="G49" t="n">
        <v>0.8266917334980889</v>
      </c>
      <c r="H49" t="n">
        <v>0.0279547065511194</v>
      </c>
      <c r="I49" t="n">
        <v>0.041897321309095</v>
      </c>
      <c r="J49" t="n">
        <v>0.0008871613802925</v>
      </c>
      <c r="K49" t="n">
        <v>0.8882510387810034</v>
      </c>
      <c r="L49" t="b">
        <v>0</v>
      </c>
      <c r="M49" t="b">
        <v>0</v>
      </c>
      <c r="N49" t="inlineStr">
        <is>
          <t>alt</t>
        </is>
      </c>
      <c r="O49" t="n">
        <v>80</v>
      </c>
      <c r="P49" t="n">
        <v>0.002106</v>
      </c>
      <c r="Q49" t="n">
        <v>100</v>
      </c>
      <c r="R49" t="n">
        <v>0.1807</v>
      </c>
      <c r="S49">
        <f>IMAGE("https://mitra.stanford.edu/kundaje/oak/projects/neuro-variants/variant_position/credible/roussos_2024/variant_figures/roussos_2024.adolescence.Astrocyte/rs2765012_count_position.png",4,220,900)</f>
        <v/>
      </c>
      <c r="T49">
        <f>IMAGE("https://mitra.stanford.edu/kundaje/oak/projects/neuro-variants/variant_position/credible/roussos_2024/variant_figures/roussos_2024.adolescence.Astrocyte/rs2765012_profile_position.png",4,220,900)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-0.129940678</v>
      </c>
      <c r="G50" t="n">
        <v>0.0482350227684627</v>
      </c>
      <c r="H50" t="n">
        <v>0.0216681537881572</v>
      </c>
      <c r="I50" t="n">
        <v>0.104747551549344</v>
      </c>
      <c r="J50" t="n">
        <v>0.0029440999317567</v>
      </c>
      <c r="K50" t="n">
        <v>0.798925031833202</v>
      </c>
      <c r="L50" t="b">
        <v>0</v>
      </c>
      <c r="M50" t="b">
        <v>0</v>
      </c>
      <c r="N50" t="inlineStr">
        <is>
          <t>ref</t>
        </is>
      </c>
      <c r="O50" t="n">
        <v>-70</v>
      </c>
      <c r="P50" t="n">
        <v>0.002472</v>
      </c>
      <c r="Q50" t="n">
        <v>-45</v>
      </c>
      <c r="R50" t="n">
        <v>0.03003</v>
      </c>
      <c r="S50">
        <f>IMAGE("https://mitra.stanford.edu/kundaje/oak/projects/neuro-variants/variant_position/credible/roussos_2024/variant_figures/roussos_2024.adolescence.Astrocyte/rs647690_count_position.png",4,220,900)</f>
        <v/>
      </c>
      <c r="T50">
        <f>IMAGE("https://mitra.stanford.edu/kundaje/oak/projects/neuro-variants/variant_position/credible/roussos_2024/variant_figures/roussos_2024.adolescence.Astrocyte/rs647690_profile_position.png",4,220,900)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0.0209083997</v>
      </c>
      <c r="G51" t="n">
        <v>0.4597182533003143</v>
      </c>
      <c r="H51" t="n">
        <v>0.0161816464404147</v>
      </c>
      <c r="I51" t="n">
        <v>0.2618095476353368</v>
      </c>
      <c r="J51" t="n">
        <v>0.0025947245052368</v>
      </c>
      <c r="K51" t="n">
        <v>0.8002153550319383</v>
      </c>
      <c r="L51" t="b">
        <v>0</v>
      </c>
      <c r="M51" t="b">
        <v>0</v>
      </c>
      <c r="N51" t="inlineStr">
        <is>
          <t>alt</t>
        </is>
      </c>
      <c r="O51" t="n">
        <v>-100</v>
      </c>
      <c r="P51" t="n">
        <v>0.06137</v>
      </c>
      <c r="Q51" t="n">
        <v>30</v>
      </c>
      <c r="R51" t="n">
        <v>0.05438</v>
      </c>
      <c r="S51">
        <f>IMAGE("https://mitra.stanford.edu/kundaje/oak/projects/neuro-variants/variant_position/credible/roussos_2024/variant_figures/roussos_2024.adolescence.Astrocyte/rs2791962_count_position.png",4,220,900)</f>
        <v/>
      </c>
      <c r="T51">
        <f>IMAGE("https://mitra.stanford.edu/kundaje/oak/projects/neuro-variants/variant_position/credible/roussos_2024/variant_figures/roussos_2024.adolescence.Astrocyte/rs2791962_profile_position.png",4,220,900)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0.112529404</v>
      </c>
      <c r="G52" t="n">
        <v>0.0661087248175046</v>
      </c>
      <c r="H52" t="n">
        <v>0.0309365415520562</v>
      </c>
      <c r="I52" t="n">
        <v>0.0279311312167612</v>
      </c>
      <c r="J52" t="n">
        <v>0.0008522980150134</v>
      </c>
      <c r="K52" t="n">
        <v>0.8917409060774804</v>
      </c>
      <c r="L52" t="b">
        <v>0</v>
      </c>
      <c r="M52" t="b">
        <v>0</v>
      </c>
      <c r="N52" t="inlineStr">
        <is>
          <t>alt</t>
        </is>
      </c>
      <c r="O52" t="n">
        <v>-70</v>
      </c>
      <c r="P52" t="n">
        <v>0.007397</v>
      </c>
      <c r="Q52" t="n">
        <v>100</v>
      </c>
      <c r="R52" t="n">
        <v>0.1497</v>
      </c>
      <c r="S52">
        <f>IMAGE("https://mitra.stanford.edu/kundaje/oak/projects/neuro-variants/variant_position/credible/roussos_2024/variant_figures/roussos_2024.adolescence.Astrocyte/rs10796876_count_position.png",4,220,900)</f>
        <v/>
      </c>
      <c r="T52">
        <f>IMAGE("https://mitra.stanford.edu/kundaje/oak/projects/neuro-variants/variant_position/credible/roussos_2024/variant_figures/roussos_2024.adolescence.Astrocyte/rs10796876_profile_position.png",4,220,900)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0.0319639045</v>
      </c>
      <c r="G53" t="n">
        <v>0.3968440468194425</v>
      </c>
      <c r="H53" t="n">
        <v>0.0374365987164284</v>
      </c>
      <c r="I53" t="n">
        <v>0.0127363925771501</v>
      </c>
      <c r="J53" t="n">
        <v>0.0004955048512001</v>
      </c>
      <c r="K53" t="n">
        <v>0.934129885002024</v>
      </c>
      <c r="L53" t="b">
        <v>0</v>
      </c>
      <c r="M53" t="b">
        <v>0</v>
      </c>
      <c r="N53" t="inlineStr">
        <is>
          <t>alt</t>
        </is>
      </c>
      <c r="O53" t="n">
        <v>-55</v>
      </c>
      <c r="P53" t="n">
        <v>0.007860000000000001</v>
      </c>
      <c r="Q53" t="n">
        <v>-100</v>
      </c>
      <c r="R53" t="n">
        <v>0.126</v>
      </c>
      <c r="S53">
        <f>IMAGE("https://mitra.stanford.edu/kundaje/oak/projects/neuro-variants/variant_position/credible/roussos_2024/variant_figures/roussos_2024.adolescence.Astrocyte/rs709309_count_position.png",4,220,900)</f>
        <v/>
      </c>
      <c r="T53">
        <f>IMAGE("https://mitra.stanford.edu/kundaje/oak/projects/neuro-variants/variant_position/credible/roussos_2024/variant_figures/roussos_2024.adolescence.Astrocyte/rs709309_profile_position.png",4,220,900)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-0.33780757</v>
      </c>
      <c r="G54" t="n">
        <v>0.0042530117869778</v>
      </c>
      <c r="H54" t="n">
        <v>0.0441707093548962</v>
      </c>
      <c r="I54" t="n">
        <v>0.0067656504250398</v>
      </c>
      <c r="J54" t="n">
        <v>0.0116235943387828</v>
      </c>
      <c r="K54" t="n">
        <v>0.65419548779956</v>
      </c>
      <c r="L54" t="b">
        <v>1</v>
      </c>
      <c r="M54" t="b">
        <v>1</v>
      </c>
      <c r="N54" t="inlineStr">
        <is>
          <t>ref</t>
        </is>
      </c>
      <c r="O54" t="n">
        <v>-95</v>
      </c>
      <c r="P54" t="n">
        <v>0.01123</v>
      </c>
      <c r="Q54" t="n">
        <v>5</v>
      </c>
      <c r="R54" t="n">
        <v>0.01709</v>
      </c>
      <c r="S54">
        <f>IMAGE("https://mitra.stanford.edu/kundaje/oak/projects/neuro-variants/variant_position/credible/roussos_2024/variant_figures/roussos_2024.adolescence.Astrocyte/rs274728_count_position.png",4,220,900)</f>
        <v/>
      </c>
      <c r="T54">
        <f>IMAGE("https://mitra.stanford.edu/kundaje/oak/projects/neuro-variants/variant_position/credible/roussos_2024/variant_figures/roussos_2024.adolescence.Astrocyte/rs274728_profile_position.png",4,220,900)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-0.0279002488</v>
      </c>
      <c r="G55" t="n">
        <v>0.4369046774898182</v>
      </c>
      <c r="H55" t="n">
        <v>0.0268306176317482</v>
      </c>
      <c r="I55" t="n">
        <v>0.0492373834673102</v>
      </c>
      <c r="J55" t="n">
        <v>0.0067790701124528</v>
      </c>
      <c r="K55" t="n">
        <v>0.7099842635029323</v>
      </c>
      <c r="L55" t="b">
        <v>0</v>
      </c>
      <c r="M55" t="b">
        <v>0</v>
      </c>
      <c r="N55" t="inlineStr">
        <is>
          <t>ref</t>
        </is>
      </c>
      <c r="O55" t="n">
        <v>-40</v>
      </c>
      <c r="P55" t="n">
        <v>0.003723</v>
      </c>
      <c r="Q55" t="n">
        <v>-5</v>
      </c>
      <c r="R55" t="n">
        <v>0.02046</v>
      </c>
      <c r="S55">
        <f>IMAGE("https://mitra.stanford.edu/kundaje/oak/projects/neuro-variants/variant_position/credible/roussos_2024/variant_figures/roussos_2024.adolescence.Astrocyte/rs812106_count_position.png",4,220,900)</f>
        <v/>
      </c>
      <c r="T55">
        <f>IMAGE("https://mitra.stanford.edu/kundaje/oak/projects/neuro-variants/variant_position/credible/roussos_2024/variant_figures/roussos_2024.adolescence.Astrocyte/rs812106_profile_position.png",4,220,900)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-0.1640793412</v>
      </c>
      <c r="G56" t="n">
        <v>0.0300266208106516</v>
      </c>
      <c r="H56" t="n">
        <v>0.03109186939118</v>
      </c>
      <c r="I56" t="n">
        <v>0.0271632090764933</v>
      </c>
      <c r="J56" t="n">
        <v>0.3612022668605169</v>
      </c>
      <c r="K56" t="n">
        <v>0.1035921534028282</v>
      </c>
      <c r="L56" t="b">
        <v>0</v>
      </c>
      <c r="M56" t="b">
        <v>0</v>
      </c>
      <c r="N56" t="inlineStr">
        <is>
          <t>ref</t>
        </is>
      </c>
      <c r="O56" t="n">
        <v>-90</v>
      </c>
      <c r="P56" t="n">
        <v>0.006752</v>
      </c>
      <c r="Q56" t="n">
        <v>-90</v>
      </c>
      <c r="R56" t="n">
        <v>0.05225</v>
      </c>
      <c r="S56">
        <f>IMAGE("https://mitra.stanford.edu/kundaje/oak/projects/neuro-variants/variant_position/credible/roussos_2024/variant_figures/roussos_2024.adolescence.Astrocyte/rs7542594_count_position.png",4,220,900)</f>
        <v/>
      </c>
      <c r="T56">
        <f>IMAGE("https://mitra.stanford.edu/kundaje/oak/projects/neuro-variants/variant_position/credible/roussos_2024/variant_figures/roussos_2024.adolescence.Astrocyte/rs7542594_profile_position.png",4,220,900)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-0.034989181</v>
      </c>
      <c r="G57" t="n">
        <v>0.3542225488907625</v>
      </c>
      <c r="H57" t="n">
        <v>0.0120219383480071</v>
      </c>
      <c r="I57" t="n">
        <v>0.5484496828865305</v>
      </c>
      <c r="J57" t="n">
        <v>0.1146848945197756</v>
      </c>
      <c r="K57" t="n">
        <v>0.3187526823417909</v>
      </c>
      <c r="L57" t="b">
        <v>0</v>
      </c>
      <c r="M57" t="b">
        <v>0</v>
      </c>
      <c r="N57" t="inlineStr">
        <is>
          <t>ref</t>
        </is>
      </c>
      <c r="O57" t="n">
        <v>-100</v>
      </c>
      <c r="P57" t="n">
        <v>0.00894</v>
      </c>
      <c r="Q57" t="n">
        <v>100</v>
      </c>
      <c r="R57" t="n">
        <v>0.2517</v>
      </c>
      <c r="S57">
        <f>IMAGE("https://mitra.stanford.edu/kundaje/oak/projects/neuro-variants/variant_position/credible/roussos_2024/variant_figures/roussos_2024.adolescence.Astrocyte/rs839993_count_position.png",4,220,900)</f>
        <v/>
      </c>
      <c r="T57">
        <f>IMAGE("https://mitra.stanford.edu/kundaje/oak/projects/neuro-variants/variant_position/credible/roussos_2024/variant_figures/roussos_2024.adolescence.Astrocyte/rs839993_profile_position.png",4,220,900)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0.00426136966</v>
      </c>
      <c r="G58" t="n">
        <v>0.7570595378230542</v>
      </c>
      <c r="H58" t="n">
        <v>0.027181365932548</v>
      </c>
      <c r="I58" t="n">
        <v>0.0459379323627591</v>
      </c>
      <c r="J58" t="n">
        <v>0.0027482716672106</v>
      </c>
      <c r="K58" t="n">
        <v>0.7935011505721417</v>
      </c>
      <c r="L58" t="b">
        <v>0</v>
      </c>
      <c r="M58" t="b">
        <v>0</v>
      </c>
      <c r="N58" t="inlineStr">
        <is>
          <t>alt</t>
        </is>
      </c>
      <c r="O58" t="n">
        <v>65</v>
      </c>
      <c r="P58" t="n">
        <v>0.04773</v>
      </c>
      <c r="Q58" t="n">
        <v>-95</v>
      </c>
      <c r="R58" t="n">
        <v>0.01843</v>
      </c>
      <c r="S58">
        <f>IMAGE("https://mitra.stanford.edu/kundaje/oak/projects/neuro-variants/variant_position/credible/roussos_2024/variant_figures/roussos_2024.adolescence.Astrocyte/rs839996_count_position.png",4,220,900)</f>
        <v/>
      </c>
      <c r="T58">
        <f>IMAGE("https://mitra.stanford.edu/kundaje/oak/projects/neuro-variants/variant_position/credible/roussos_2024/variant_figures/roussos_2024.adolescence.Astrocyte/rs839996_profile_position.png",4,220,900)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-0.415702446</v>
      </c>
      <c r="G59" t="n">
        <v>0.0025772069604608</v>
      </c>
      <c r="H59" t="n">
        <v>0.0386503622303664</v>
      </c>
      <c r="I59" t="n">
        <v>0.0128635129614272</v>
      </c>
      <c r="J59" t="n">
        <v>0.0817145357980001</v>
      </c>
      <c r="K59" t="n">
        <v>0.3623096255014179</v>
      </c>
      <c r="L59" t="b">
        <v>1</v>
      </c>
      <c r="M59" t="b">
        <v>1</v>
      </c>
      <c r="N59" t="inlineStr">
        <is>
          <t>ref</t>
        </is>
      </c>
      <c r="O59" t="n">
        <v>100</v>
      </c>
      <c r="P59" t="n">
        <v>0.0982</v>
      </c>
      <c r="Q59" t="n">
        <v>-60</v>
      </c>
      <c r="R59" t="n">
        <v>0.1201</v>
      </c>
      <c r="S59">
        <f>IMAGE("https://mitra.stanford.edu/kundaje/oak/projects/neuro-variants/variant_position/credible/roussos_2024/variant_figures/roussos_2024.adolescence.Astrocyte/rs11587504_count_position.png",4,220,900)</f>
        <v/>
      </c>
      <c r="T59">
        <f>IMAGE("https://mitra.stanford.edu/kundaje/oak/projects/neuro-variants/variant_position/credible/roussos_2024/variant_figures/roussos_2024.adolescence.Astrocyte/rs11587504_profile_position.png",4,220,900)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0.00377672248</v>
      </c>
      <c r="G60" t="n">
        <v>0.8305225218322895</v>
      </c>
      <c r="H60" t="n">
        <v>0.0225422892770185</v>
      </c>
      <c r="I60" t="n">
        <v>0.09139025538138459</v>
      </c>
      <c r="J60" t="n">
        <v>0.0664176779515176</v>
      </c>
      <c r="K60" t="n">
        <v>0.394920840414838</v>
      </c>
      <c r="L60" t="b">
        <v>0</v>
      </c>
      <c r="M60" t="b">
        <v>0</v>
      </c>
      <c r="N60" t="inlineStr">
        <is>
          <t>alt</t>
        </is>
      </c>
      <c r="O60" t="n">
        <v>-100</v>
      </c>
      <c r="P60" t="n">
        <v>0.1387</v>
      </c>
      <c r="Q60" t="n">
        <v>-100</v>
      </c>
      <c r="R60" t="n">
        <v>0.1241</v>
      </c>
      <c r="S60">
        <f>IMAGE("https://mitra.stanford.edu/kundaje/oak/projects/neuro-variants/variant_position/credible/roussos_2024/variant_figures/roussos_2024.adolescence.Astrocyte/rs685756_count_position.png",4,220,900)</f>
        <v/>
      </c>
      <c r="T60">
        <f>IMAGE("https://mitra.stanford.edu/kundaje/oak/projects/neuro-variants/variant_position/credible/roussos_2024/variant_figures/roussos_2024.adolescence.Astrocyte/rs685756_profile_position.png",4,220,900)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0.08966005439999999</v>
      </c>
      <c r="G61" t="n">
        <v>0.1107886676948239</v>
      </c>
      <c r="H61" t="n">
        <v>0.0166329274892232</v>
      </c>
      <c r="I61" t="n">
        <v>0.2474044987446887</v>
      </c>
      <c r="J61" t="n">
        <v>0.09417114203483359</v>
      </c>
      <c r="K61" t="n">
        <v>0.3347390845750324</v>
      </c>
      <c r="L61" t="b">
        <v>0</v>
      </c>
      <c r="M61" t="b">
        <v>0</v>
      </c>
      <c r="N61" t="inlineStr">
        <is>
          <t>alt</t>
        </is>
      </c>
      <c r="O61" t="n">
        <v>15</v>
      </c>
      <c r="P61" t="n">
        <v>0.001984</v>
      </c>
      <c r="Q61" t="n">
        <v>-10</v>
      </c>
      <c r="R61" t="n">
        <v>0.01807</v>
      </c>
      <c r="S61">
        <f>IMAGE("https://mitra.stanford.edu/kundaje/oak/projects/neuro-variants/variant_position/credible/roussos_2024/variant_figures/roussos_2024.adolescence.Astrocyte/rs839761_count_position.png",4,220,900)</f>
        <v/>
      </c>
      <c r="T61">
        <f>IMAGE("https://mitra.stanford.edu/kundaje/oak/projects/neuro-variants/variant_position/credible/roussos_2024/variant_figures/roussos_2024.adolescence.Astrocyte/rs839761_profile_position.png",4,220,900)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0.059630337</v>
      </c>
      <c r="G62" t="n">
        <v>0.1850604961401542</v>
      </c>
      <c r="H62" t="n">
        <v>0.0150748440853743</v>
      </c>
      <c r="I62" t="n">
        <v>0.3198536271614966</v>
      </c>
      <c r="J62" t="n">
        <v>0.0028454440257543</v>
      </c>
      <c r="K62" t="n">
        <v>0.8034481450113037</v>
      </c>
      <c r="L62" t="b">
        <v>0</v>
      </c>
      <c r="M62" t="b">
        <v>0</v>
      </c>
      <c r="N62" t="inlineStr">
        <is>
          <t>alt</t>
        </is>
      </c>
      <c r="O62" t="n">
        <v>-35</v>
      </c>
      <c r="P62" t="n">
        <v>0.01631</v>
      </c>
      <c r="Q62" t="n">
        <v>95</v>
      </c>
      <c r="R62" t="n">
        <v>0.0409</v>
      </c>
      <c r="S62">
        <f>IMAGE("https://mitra.stanford.edu/kundaje/oak/projects/neuro-variants/variant_position/credible/roussos_2024/variant_figures/roussos_2024.adolescence.Astrocyte/rs3001721_count_position.png",4,220,900)</f>
        <v/>
      </c>
      <c r="T62">
        <f>IMAGE("https://mitra.stanford.edu/kundaje/oak/projects/neuro-variants/variant_position/credible/roussos_2024/variant_figures/roussos_2024.adolescence.Astrocyte/rs3001721_profile_position.png",4,220,900)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-0.00655745072</v>
      </c>
      <c r="G63" t="n">
        <v>0.8131219813316962</v>
      </c>
      <c r="H63" t="n">
        <v>0.032804078656457</v>
      </c>
      <c r="I63" t="n">
        <v>0.022161387643377</v>
      </c>
      <c r="J63" t="n">
        <v>0.1539143399697355</v>
      </c>
      <c r="K63" t="n">
        <v>0.2566612755405992</v>
      </c>
      <c r="L63" t="b">
        <v>0</v>
      </c>
      <c r="M63" t="b">
        <v>0</v>
      </c>
      <c r="N63" t="inlineStr">
        <is>
          <t>ref</t>
        </is>
      </c>
      <c r="O63" t="n">
        <v>100</v>
      </c>
      <c r="P63" t="n">
        <v>0.04614</v>
      </c>
      <c r="Q63" t="n">
        <v>100</v>
      </c>
      <c r="R63" t="n">
        <v>0.2286</v>
      </c>
      <c r="S63">
        <f>IMAGE("https://mitra.stanford.edu/kundaje/oak/projects/neuro-variants/variant_position/credible/roussos_2024/variant_figures/roussos_2024.adolescence.Astrocyte/rs72671121_count_position.png",4,220,900)</f>
        <v/>
      </c>
      <c r="T63">
        <f>IMAGE("https://mitra.stanford.edu/kundaje/oak/projects/neuro-variants/variant_position/credible/roussos_2024/variant_figures/roussos_2024.adolescence.Astrocyte/rs72671121_profile_position.png",4,220,900)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0.01566035826</v>
      </c>
      <c r="G64" t="n">
        <v>0.6097406026629101</v>
      </c>
      <c r="H64" t="n">
        <v>0.0113967014498686</v>
      </c>
      <c r="I64" t="n">
        <v>0.6184646223565506</v>
      </c>
      <c r="J64" t="n">
        <v>0.3888162774827166</v>
      </c>
      <c r="K64" t="n">
        <v>0.0923730398439631</v>
      </c>
      <c r="L64" t="b">
        <v>0</v>
      </c>
      <c r="M64" t="b">
        <v>0</v>
      </c>
      <c r="N64" t="inlineStr">
        <is>
          <t>alt</t>
        </is>
      </c>
      <c r="O64" t="n">
        <v>-75</v>
      </c>
      <c r="P64" t="n">
        <v>0.00644</v>
      </c>
      <c r="Q64" t="n">
        <v>10</v>
      </c>
      <c r="R64" t="n">
        <v>0.00537</v>
      </c>
      <c r="S64">
        <f>IMAGE("https://mitra.stanford.edu/kundaje/oak/projects/neuro-variants/variant_position/credible/roussos_2024/variant_figures/roussos_2024.adolescence.Astrocyte/rs2027130_count_position.png",4,220,900)</f>
        <v/>
      </c>
      <c r="T64">
        <f>IMAGE("https://mitra.stanford.edu/kundaje/oak/projects/neuro-variants/variant_position/credible/roussos_2024/variant_figures/roussos_2024.adolescence.Astrocyte/rs2027130_profile_position.png",4,220,900)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-0.0391058258</v>
      </c>
      <c r="G65" t="n">
        <v>0.3382376462079298</v>
      </c>
      <c r="H65" t="n">
        <v>0.0135909887016112</v>
      </c>
      <c r="I65" t="n">
        <v>0.4096280288341832</v>
      </c>
      <c r="J65" t="n">
        <v>0.0042355279945405</v>
      </c>
      <c r="K65" t="n">
        <v>0.7547953188583622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0.01855</v>
      </c>
      <c r="Q65" t="n">
        <v>-35</v>
      </c>
      <c r="R65" t="n">
        <v>0.05908</v>
      </c>
      <c r="S65">
        <f>IMAGE("https://mitra.stanford.edu/kundaje/oak/projects/neuro-variants/variant_position/credible/roussos_2024/variant_figures/roussos_2024.adolescence.Astrocyte/rs2494994_count_position.png",4,220,900)</f>
        <v/>
      </c>
      <c r="T65">
        <f>IMAGE("https://mitra.stanford.edu/kundaje/oak/projects/neuro-variants/variant_position/credible/roussos_2024/variant_figures/roussos_2024.adolescence.Astrocyte/rs2494994_profile_position.png",4,220,900)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0.266337964</v>
      </c>
      <c r="G66" t="n">
        <v>0.0093120556724362</v>
      </c>
      <c r="H66" t="n">
        <v>0.0500516580482683</v>
      </c>
      <c r="I66" t="n">
        <v>0.0041786216963995</v>
      </c>
      <c r="J66" t="n">
        <v>0.001952348455627</v>
      </c>
      <c r="K66" t="n">
        <v>0.8318687181035823</v>
      </c>
      <c r="L66" t="b">
        <v>1</v>
      </c>
      <c r="M66" t="b">
        <v>1</v>
      </c>
      <c r="N66" t="inlineStr">
        <is>
          <t>alt</t>
        </is>
      </c>
      <c r="O66" t="n">
        <v>65</v>
      </c>
      <c r="P66" t="n">
        <v>0.01191</v>
      </c>
      <c r="Q66" t="n">
        <v>65</v>
      </c>
      <c r="R66" t="n">
        <v>0.10504</v>
      </c>
      <c r="S66">
        <f>IMAGE("https://mitra.stanford.edu/kundaje/oak/projects/neuro-variants/variant_position/credible/roussos_2024/variant_figures/roussos_2024.adolescence.Astrocyte/rs2842196_count_position.png",4,220,900)</f>
        <v/>
      </c>
      <c r="T66">
        <f>IMAGE("https://mitra.stanford.edu/kundaje/oak/projects/neuro-variants/variant_position/credible/roussos_2024/variant_figures/roussos_2024.adolescence.Astrocyte/rs2842196_profile_position.png",4,220,900)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-0.1429499352</v>
      </c>
      <c r="G67" t="n">
        <v>0.0585699020100354</v>
      </c>
      <c r="H67" t="n">
        <v>0.0511976956249813</v>
      </c>
      <c r="I67" t="n">
        <v>0.0041850018185835</v>
      </c>
      <c r="J67" t="n">
        <v>0.0305989081090703</v>
      </c>
      <c r="K67" t="n">
        <v>0.5067064314671543</v>
      </c>
      <c r="L67" t="b">
        <v>1</v>
      </c>
      <c r="M67" t="b">
        <v>0</v>
      </c>
      <c r="N67" t="inlineStr">
        <is>
          <t>ref</t>
        </is>
      </c>
      <c r="O67" t="n">
        <v>90</v>
      </c>
      <c r="P67" t="n">
        <v>0.014336</v>
      </c>
      <c r="Q67" t="n">
        <v>-40</v>
      </c>
      <c r="R67" t="n">
        <v>0.02417</v>
      </c>
      <c r="S67">
        <f>IMAGE("https://mitra.stanford.edu/kundaje/oak/projects/neuro-variants/variant_position/credible/roussos_2024/variant_figures/roussos_2024.adolescence.Astrocyte/rs7413861_count_position.png",4,220,900)</f>
        <v/>
      </c>
      <c r="T67">
        <f>IMAGE("https://mitra.stanford.edu/kundaje/oak/projects/neuro-variants/variant_position/credible/roussos_2024/variant_figures/roussos_2024.adolescence.Astrocyte/rs7413861_profile_position.png",4,220,900)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-2.565959399999998e-05</v>
      </c>
      <c r="G68" t="n">
        <v>0.900215662105844</v>
      </c>
      <c r="H68" t="n">
        <v>0.0360027984682933</v>
      </c>
      <c r="I68" t="n">
        <v>0.0152475994405114</v>
      </c>
      <c r="J68" t="n">
        <v>0.0008604575260362</v>
      </c>
      <c r="K68" t="n">
        <v>0.8842632921066432</v>
      </c>
      <c r="L68" t="b">
        <v>0</v>
      </c>
      <c r="M68" t="b">
        <v>0</v>
      </c>
      <c r="N68" t="inlineStr">
        <is>
          <t>ref</t>
        </is>
      </c>
      <c r="O68" t="n">
        <v>-100</v>
      </c>
      <c r="P68" t="n">
        <v>0.04813</v>
      </c>
      <c r="Q68" t="n">
        <v>-55</v>
      </c>
      <c r="R68" t="n">
        <v>0.03357</v>
      </c>
      <c r="S68">
        <f>IMAGE("https://mitra.stanford.edu/kundaje/oak/projects/neuro-variants/variant_position/credible/roussos_2024/variant_figures/roussos_2024.adolescence.Astrocyte/rs10789433_count_position.png",4,220,900)</f>
        <v/>
      </c>
      <c r="T68">
        <f>IMAGE("https://mitra.stanford.edu/kundaje/oak/projects/neuro-variants/variant_position/credible/roussos_2024/variant_figures/roussos_2024.adolescence.Astrocyte/rs10789433_profile_position.png",4,220,900)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0.0087475986</v>
      </c>
      <c r="G69" t="n">
        <v>0.7425564521545427</v>
      </c>
      <c r="H69" t="n">
        <v>0.0255622423373601</v>
      </c>
      <c r="I69" t="n">
        <v>0.0596212219511994</v>
      </c>
      <c r="J69" t="n">
        <v>0.0010866985134854</v>
      </c>
      <c r="K69" t="n">
        <v>0.8727413066394117</v>
      </c>
      <c r="L69" t="b">
        <v>0</v>
      </c>
      <c r="M69" t="b">
        <v>0</v>
      </c>
      <c r="N69" t="inlineStr">
        <is>
          <t>alt</t>
        </is>
      </c>
      <c r="O69" t="n">
        <v>100</v>
      </c>
      <c r="P69" t="n">
        <v>0.009674</v>
      </c>
      <c r="Q69" t="n">
        <v>-40</v>
      </c>
      <c r="R69" t="n">
        <v>0.04248</v>
      </c>
      <c r="S69">
        <f>IMAGE("https://mitra.stanford.edu/kundaje/oak/projects/neuro-variants/variant_position/credible/roussos_2024/variant_figures/roussos_2024.adolescence.Astrocyte/rs10732843_count_position.png",4,220,900)</f>
        <v/>
      </c>
      <c r="T69">
        <f>IMAGE("https://mitra.stanford.edu/kundaje/oak/projects/neuro-variants/variant_position/credible/roussos_2024/variant_figures/roussos_2024.adolescence.Astrocyte/rs10732843_profile_position.png",4,220,900)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0.0530767419999999</v>
      </c>
      <c r="G70" t="n">
        <v>0.2455068408171204</v>
      </c>
      <c r="H70" t="n">
        <v>0.0158045258687349</v>
      </c>
      <c r="I70" t="n">
        <v>0.285594659607821</v>
      </c>
      <c r="J70" t="n">
        <v>0.2168315876924902</v>
      </c>
      <c r="K70" t="n">
        <v>0.1915028655448897</v>
      </c>
      <c r="L70" t="b">
        <v>0</v>
      </c>
      <c r="M70" t="b">
        <v>0</v>
      </c>
      <c r="N70" t="inlineStr">
        <is>
          <t>alt</t>
        </is>
      </c>
      <c r="O70" t="n">
        <v>-80</v>
      </c>
      <c r="P70" t="n">
        <v>0.05176</v>
      </c>
      <c r="Q70" t="n">
        <v>35</v>
      </c>
      <c r="R70" t="n">
        <v>0.08019999999999999</v>
      </c>
      <c r="S70">
        <f>IMAGE("https://mitra.stanford.edu/kundaje/oak/projects/neuro-variants/variant_position/credible/roussos_2024/variant_figures/roussos_2024.adolescence.Astrocyte/rs2077652_count_position.png",4,220,900)</f>
        <v/>
      </c>
      <c r="T70">
        <f>IMAGE("https://mitra.stanford.edu/kundaje/oak/projects/neuro-variants/variant_position/credible/roussos_2024/variant_figures/roussos_2024.adolescence.Astrocyte/rs2077652_profile_position.png",4,220,900)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-0.032273898</v>
      </c>
      <c r="G71" t="n">
        <v>0.3020267484867683</v>
      </c>
      <c r="H71" t="n">
        <v>0.0128261812588315</v>
      </c>
      <c r="I71" t="n">
        <v>0.4804650679858104</v>
      </c>
      <c r="J71" t="n">
        <v>0.2706517223985994</v>
      </c>
      <c r="K71" t="n">
        <v>0.1533074529637724</v>
      </c>
      <c r="L71" t="b">
        <v>0</v>
      </c>
      <c r="M71" t="b">
        <v>0</v>
      </c>
      <c r="N71" t="inlineStr">
        <is>
          <t>ref</t>
        </is>
      </c>
      <c r="O71" t="n">
        <v>0</v>
      </c>
      <c r="P71" t="n">
        <v>0</v>
      </c>
      <c r="Q71" t="n">
        <v>50</v>
      </c>
      <c r="R71" t="n">
        <v>0.0365</v>
      </c>
      <c r="S71">
        <f>IMAGE("https://mitra.stanford.edu/kundaje/oak/projects/neuro-variants/variant_position/credible/roussos_2024/variant_figures/roussos_2024.adolescence.Astrocyte/rs16830935_count_position.png",4,220,900)</f>
        <v/>
      </c>
      <c r="T71">
        <f>IMAGE("https://mitra.stanford.edu/kundaje/oak/projects/neuro-variants/variant_position/credible/roussos_2024/variant_figures/roussos_2024.adolescence.Astrocyte/rs16830935_profile_position.png",4,220,900)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-0.0097354700539999</v>
      </c>
      <c r="G72" t="n">
        <v>0.6931096358363311</v>
      </c>
      <c r="H72" t="n">
        <v>0.014428529556195</v>
      </c>
      <c r="I72" t="n">
        <v>0.356340591986554</v>
      </c>
      <c r="J72" t="n">
        <v>0.063549980713883</v>
      </c>
      <c r="K72" t="n">
        <v>0.3974531472781769</v>
      </c>
      <c r="L72" t="b">
        <v>0</v>
      </c>
      <c r="M72" t="b">
        <v>0</v>
      </c>
      <c r="N72" t="inlineStr">
        <is>
          <t>ref</t>
        </is>
      </c>
      <c r="O72" t="n">
        <v>-70</v>
      </c>
      <c r="P72" t="n">
        <v>0.000675</v>
      </c>
      <c r="Q72" t="n">
        <v>55</v>
      </c>
      <c r="R72" t="n">
        <v>0.02277</v>
      </c>
      <c r="S72">
        <f>IMAGE("https://mitra.stanford.edu/kundaje/oak/projects/neuro-variants/variant_position/credible/roussos_2024/variant_figures/roussos_2024.adolescence.Astrocyte/rs10890265_count_position.png",4,220,900)</f>
        <v/>
      </c>
      <c r="T72">
        <f>IMAGE("https://mitra.stanford.edu/kundaje/oak/projects/neuro-variants/variant_position/credible/roussos_2024/variant_figures/roussos_2024.adolescence.Astrocyte/rs10890265_profile_position.png",4,220,900)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0.0441822244</v>
      </c>
      <c r="G73" t="n">
        <v>0.2900042367738434</v>
      </c>
      <c r="H73" t="n">
        <v>0.0164638409288802</v>
      </c>
      <c r="I73" t="n">
        <v>0.2549094932968762</v>
      </c>
      <c r="J73" t="n">
        <v>0.08594487137643531</v>
      </c>
      <c r="K73" t="n">
        <v>0.3677782133931722</v>
      </c>
      <c r="L73" t="b">
        <v>0</v>
      </c>
      <c r="M73" t="b">
        <v>0</v>
      </c>
      <c r="N73" t="inlineStr">
        <is>
          <t>alt</t>
        </is>
      </c>
      <c r="O73" t="n">
        <v>70</v>
      </c>
      <c r="P73" t="n">
        <v>0.006668</v>
      </c>
      <c r="Q73" t="n">
        <v>5</v>
      </c>
      <c r="R73" t="n">
        <v>0.01288</v>
      </c>
      <c r="S73">
        <f>IMAGE("https://mitra.stanford.edu/kundaje/oak/projects/neuro-variants/variant_position/credible/roussos_2024/variant_figures/roussos_2024.adolescence.Astrocyte/rs603542_count_position.png",4,220,900)</f>
        <v/>
      </c>
      <c r="T73">
        <f>IMAGE("https://mitra.stanford.edu/kundaje/oak/projects/neuro-variants/variant_position/credible/roussos_2024/variant_figures/roussos_2024.adolescence.Astrocyte/rs603542_profile_position.png",4,220,900)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-0.0260480953</v>
      </c>
      <c r="G74" t="n">
        <v>0.4708211904610603</v>
      </c>
      <c r="H74" t="n">
        <v>0.0106621363141074</v>
      </c>
      <c r="I74" t="n">
        <v>0.6903530721604602</v>
      </c>
      <c r="J74" t="n">
        <v>0.1404385366287867</v>
      </c>
      <c r="K74" t="n">
        <v>0.2662684326337247</v>
      </c>
      <c r="L74" t="b">
        <v>0</v>
      </c>
      <c r="M74" t="b">
        <v>0</v>
      </c>
      <c r="N74" t="inlineStr">
        <is>
          <t>ref</t>
        </is>
      </c>
      <c r="O74" t="n">
        <v>5</v>
      </c>
      <c r="P74" t="n">
        <v>0.000351</v>
      </c>
      <c r="Q74" t="n">
        <v>-100</v>
      </c>
      <c r="R74" t="n">
        <v>0.04367</v>
      </c>
      <c r="S74">
        <f>IMAGE("https://mitra.stanford.edu/kundaje/oak/projects/neuro-variants/variant_position/credible/roussos_2024/variant_figures/roussos_2024.adolescence.Astrocyte/rs16831024_count_position.png",4,220,900)</f>
        <v/>
      </c>
      <c r="T74">
        <f>IMAGE("https://mitra.stanford.edu/kundaje/oak/projects/neuro-variants/variant_position/credible/roussos_2024/variant_figures/roussos_2024.adolescence.Astrocyte/rs16831024_profile_position.png",4,220,900)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0.06273722732000001</v>
      </c>
      <c r="G75" t="n">
        <v>0.1712281318048759</v>
      </c>
      <c r="H75" t="n">
        <v>0.0206056513736309</v>
      </c>
      <c r="I75" t="n">
        <v>0.1255455971780652</v>
      </c>
      <c r="J75" t="n">
        <v>0.3545715514939322</v>
      </c>
      <c r="K75" t="n">
        <v>0.1077249346253441</v>
      </c>
      <c r="L75" t="b">
        <v>0</v>
      </c>
      <c r="M75" t="b">
        <v>0</v>
      </c>
      <c r="N75" t="inlineStr">
        <is>
          <t>alt</t>
        </is>
      </c>
      <c r="O75" t="n">
        <v>-100</v>
      </c>
      <c r="P75" t="n">
        <v>0.003788</v>
      </c>
      <c r="Q75" t="n">
        <v>10</v>
      </c>
      <c r="R75" t="n">
        <v>0.01465</v>
      </c>
      <c r="S75">
        <f>IMAGE("https://mitra.stanford.edu/kundaje/oak/projects/neuro-variants/variant_position/credible/roussos_2024/variant_figures/roussos_2024.adolescence.Astrocyte/rs1143702_count_position.png",4,220,900)</f>
        <v/>
      </c>
      <c r="T75">
        <f>IMAGE("https://mitra.stanford.edu/kundaje/oak/projects/neuro-variants/variant_position/credible/roussos_2024/variant_figures/roussos_2024.adolescence.Astrocyte/rs1143702_profile_position.png",4,220,900)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-0.1774514179999999</v>
      </c>
      <c r="G76" t="n">
        <v>0.0265764460563884</v>
      </c>
      <c r="H76" t="n">
        <v>0.0296258338367148</v>
      </c>
      <c r="I76" t="n">
        <v>0.0343204781079536</v>
      </c>
      <c r="J76" t="n">
        <v>0.1275880485416728</v>
      </c>
      <c r="K76" t="n">
        <v>0.2825425712454313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0.01548</v>
      </c>
      <c r="Q76" t="n">
        <v>20</v>
      </c>
      <c r="R76" t="n">
        <v>0.0199</v>
      </c>
      <c r="S76">
        <f>IMAGE("https://mitra.stanford.edu/kundaje/oak/projects/neuro-variants/variant_position/credible/roussos_2024/variant_figures/roussos_2024.adolescence.Astrocyte/rs11210894_count_position.png",4,220,900)</f>
        <v/>
      </c>
      <c r="T76">
        <f>IMAGE("https://mitra.stanford.edu/kundaje/oak/projects/neuro-variants/variant_position/credible/roussos_2024/variant_figures/roussos_2024.adolescence.Astrocyte/rs11210894_profile_position.png",4,220,900)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-0.274032916</v>
      </c>
      <c r="G77" t="n">
        <v>0.008085516882384999</v>
      </c>
      <c r="H77" t="n">
        <v>0.0200479555861744</v>
      </c>
      <c r="I77" t="n">
        <v>0.1410185087649071</v>
      </c>
      <c r="J77" t="n">
        <v>0.2092187639082574</v>
      </c>
      <c r="K77" t="n">
        <v>0.2007267270100169</v>
      </c>
      <c r="L77" t="b">
        <v>1</v>
      </c>
      <c r="M77" t="b">
        <v>1</v>
      </c>
      <c r="N77" t="inlineStr">
        <is>
          <t>ref</t>
        </is>
      </c>
      <c r="O77" t="n">
        <v>95</v>
      </c>
      <c r="P77" t="n">
        <v>0.07104000000000001</v>
      </c>
      <c r="Q77" t="n">
        <v>30</v>
      </c>
      <c r="R77" t="n">
        <v>0.04346</v>
      </c>
      <c r="S77">
        <f>IMAGE("https://mitra.stanford.edu/kundaje/oak/projects/neuro-variants/variant_position/credible/roussos_2024/variant_figures/roussos_2024.adolescence.Astrocyte/rs12045413_count_position.png",4,220,900)</f>
        <v/>
      </c>
      <c r="T77">
        <f>IMAGE("https://mitra.stanford.edu/kundaje/oak/projects/neuro-variants/variant_position/credible/roussos_2024/variant_figures/roussos_2024.adolescence.Astrocyte/rs12045413_profile_position.png",4,220,900)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-0.0012710348139999</v>
      </c>
      <c r="G78" t="n">
        <v>0.8480418941643394</v>
      </c>
      <c r="H78" t="n">
        <v>0.0381625690535155</v>
      </c>
      <c r="I78" t="n">
        <v>0.0115996965672036</v>
      </c>
      <c r="J78" t="n">
        <v>0.1268499836809779</v>
      </c>
      <c r="K78" t="n">
        <v>0.2824280404336837</v>
      </c>
      <c r="L78" t="b">
        <v>1</v>
      </c>
      <c r="M78" t="b">
        <v>0</v>
      </c>
      <c r="N78" t="inlineStr">
        <is>
          <t>ref</t>
        </is>
      </c>
      <c r="O78" t="n">
        <v>60</v>
      </c>
      <c r="P78" t="n">
        <v>0.09130000000000001</v>
      </c>
      <c r="Q78" t="n">
        <v>-70</v>
      </c>
      <c r="R78" t="n">
        <v>0.2222</v>
      </c>
      <c r="S78">
        <f>IMAGE("https://mitra.stanford.edu/kundaje/oak/projects/neuro-variants/variant_position/credible/roussos_2024/variant_figures/roussos_2024.adolescence.Astrocyte/rs12041746_count_position.png",4,220,900)</f>
        <v/>
      </c>
      <c r="T78">
        <f>IMAGE("https://mitra.stanford.edu/kundaje/oak/projects/neuro-variants/variant_position/credible/roussos_2024/variant_figures/roussos_2024.adolescence.Astrocyte/rs12041746_profile_position.png",4,220,900)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-0.0378718491</v>
      </c>
      <c r="G79" t="n">
        <v>0.3872040422762221</v>
      </c>
      <c r="H79" t="n">
        <v>0.0141152728554777</v>
      </c>
      <c r="I79" t="n">
        <v>0.3749726504598523</v>
      </c>
      <c r="J79" t="n">
        <v>0.8175399816040116</v>
      </c>
      <c r="K79" t="n">
        <v>0.0068679349272921</v>
      </c>
      <c r="L79" t="b">
        <v>0</v>
      </c>
      <c r="M79" t="b">
        <v>0</v>
      </c>
      <c r="N79" t="inlineStr">
        <is>
          <t>ref</t>
        </is>
      </c>
      <c r="O79" t="n">
        <v>-50</v>
      </c>
      <c r="P79" t="n">
        <v>0.0105</v>
      </c>
      <c r="Q79" t="n">
        <v>15</v>
      </c>
      <c r="R79" t="n">
        <v>0.04547</v>
      </c>
      <c r="S79">
        <f>IMAGE("https://mitra.stanford.edu/kundaje/oak/projects/neuro-variants/variant_position/credible/roussos_2024/variant_figures/roussos_2024.adolescence.Astrocyte/rs34550543_count_position.png",4,220,900)</f>
        <v/>
      </c>
      <c r="T79">
        <f>IMAGE("https://mitra.stanford.edu/kundaje/oak/projects/neuro-variants/variant_position/credible/roussos_2024/variant_figures/roussos_2024.adolescence.Astrocyte/rs34550543_profile_position.png",4,220,900)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0.0431052636999999</v>
      </c>
      <c r="G80" t="n">
        <v>0.2126283865063536</v>
      </c>
      <c r="H80" t="n">
        <v>0.0228239535999057</v>
      </c>
      <c r="I80" t="n">
        <v>0.0870735151339832</v>
      </c>
      <c r="J80" t="n">
        <v>0.2546932023855442</v>
      </c>
      <c r="K80" t="n">
        <v>0.1654555482630171</v>
      </c>
      <c r="L80" t="b">
        <v>0</v>
      </c>
      <c r="M80" t="b">
        <v>0</v>
      </c>
      <c r="N80" t="inlineStr">
        <is>
          <t>alt</t>
        </is>
      </c>
      <c r="O80" t="n">
        <v>-100</v>
      </c>
      <c r="P80" t="n">
        <v>0.007683</v>
      </c>
      <c r="Q80" t="n">
        <v>-45</v>
      </c>
      <c r="R80" t="n">
        <v>0.09863</v>
      </c>
      <c r="S80">
        <f>IMAGE("https://mitra.stanford.edu/kundaje/oak/projects/neuro-variants/variant_position/credible/roussos_2024/variant_figures/roussos_2024.adolescence.Astrocyte/rs56352978_count_position.png",4,220,900)</f>
        <v/>
      </c>
      <c r="T80">
        <f>IMAGE("https://mitra.stanford.edu/kundaje/oak/projects/neuro-variants/variant_position/credible/roussos_2024/variant_figures/roussos_2024.adolescence.Astrocyte/rs56352978_profile_position.png",4,220,900)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0.0002637772799999</v>
      </c>
      <c r="G81" t="n">
        <v>0.8037479350442918</v>
      </c>
      <c r="H81" t="n">
        <v>0.0196512129826279</v>
      </c>
      <c r="I81" t="n">
        <v>0.1469737650657474</v>
      </c>
      <c r="J81" t="n">
        <v>0.0020599056463815</v>
      </c>
      <c r="K81" t="n">
        <v>0.8174323581140588</v>
      </c>
      <c r="L81" t="b">
        <v>0</v>
      </c>
      <c r="M81" t="b">
        <v>0</v>
      </c>
      <c r="N81" t="inlineStr">
        <is>
          <t>alt</t>
        </is>
      </c>
      <c r="O81" t="n">
        <v>95</v>
      </c>
      <c r="P81" t="n">
        <v>0.03864</v>
      </c>
      <c r="Q81" t="n">
        <v>95</v>
      </c>
      <c r="R81" t="n">
        <v>0.09143</v>
      </c>
      <c r="S81">
        <f>IMAGE("https://mitra.stanford.edu/kundaje/oak/projects/neuro-variants/variant_position/credible/roussos_2024/variant_figures/roussos_2024.adolescence.Astrocyte/rs11590088_count_position.png",4,220,900)</f>
        <v/>
      </c>
      <c r="T81">
        <f>IMAGE("https://mitra.stanford.edu/kundaje/oak/projects/neuro-variants/variant_position/credible/roussos_2024/variant_figures/roussos_2024.adolescence.Astrocyte/rs11590088_profile_position.png",4,220,900)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-0.0814351034</v>
      </c>
      <c r="G82" t="n">
        <v>0.1135152732249774</v>
      </c>
      <c r="H82" t="n">
        <v>0.0106025182948979</v>
      </c>
      <c r="I82" t="n">
        <v>0.7002826019242288</v>
      </c>
      <c r="J82" t="n">
        <v>0.0151485031006141</v>
      </c>
      <c r="K82" t="n">
        <v>0.6309889161068315</v>
      </c>
      <c r="L82" t="b">
        <v>0</v>
      </c>
      <c r="M82" t="b">
        <v>0</v>
      </c>
      <c r="N82" t="inlineStr">
        <is>
          <t>ref</t>
        </is>
      </c>
      <c r="O82" t="n">
        <v>40</v>
      </c>
      <c r="P82" t="n">
        <v>0.00531</v>
      </c>
      <c r="Q82" t="n">
        <v>40</v>
      </c>
      <c r="R82" t="n">
        <v>0.1238</v>
      </c>
      <c r="S82">
        <f>IMAGE("https://mitra.stanford.edu/kundaje/oak/projects/neuro-variants/variant_position/credible/roussos_2024/variant_figures/roussos_2024.adolescence.Astrocyte/rs3957_count_position.png",4,220,900)</f>
        <v/>
      </c>
      <c r="T82">
        <f>IMAGE("https://mitra.stanford.edu/kundaje/oak/projects/neuro-variants/variant_position/credible/roussos_2024/variant_figures/roussos_2024.adolescence.Astrocyte/rs3957_profile_position.png",4,220,900)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-0.0021796862</v>
      </c>
      <c r="G83" t="n">
        <v>0.8100744936836853</v>
      </c>
      <c r="H83" t="n">
        <v>0.0190866825229994</v>
      </c>
      <c r="I83" t="n">
        <v>0.1613067966306143</v>
      </c>
      <c r="J83" t="n">
        <v>0.0029619025012609</v>
      </c>
      <c r="K83" t="n">
        <v>0.7985494986556615</v>
      </c>
      <c r="L83" t="b">
        <v>0</v>
      </c>
      <c r="M83" t="b">
        <v>0</v>
      </c>
      <c r="N83" t="inlineStr">
        <is>
          <t>ref</t>
        </is>
      </c>
      <c r="O83" t="n">
        <v>90</v>
      </c>
      <c r="P83" t="n">
        <v>0.013954</v>
      </c>
      <c r="Q83" t="n">
        <v>90</v>
      </c>
      <c r="R83" t="n">
        <v>0.1168</v>
      </c>
      <c r="S83">
        <f>IMAGE("https://mitra.stanford.edu/kundaje/oak/projects/neuro-variants/variant_position/credible/roussos_2024/variant_figures/roussos_2024.adolescence.Astrocyte/rs1167295_count_position.png",4,220,900)</f>
        <v/>
      </c>
      <c r="T83">
        <f>IMAGE("https://mitra.stanford.edu/kundaje/oak/projects/neuro-variants/variant_position/credible/roussos_2024/variant_figures/roussos_2024.adolescence.Astrocyte/rs1167295_profile_position.png",4,220,900)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-0.004524468626</v>
      </c>
      <c r="G84" t="n">
        <v>0.8769409263980747</v>
      </c>
      <c r="H84" t="n">
        <v>0.0238622857113499</v>
      </c>
      <c r="I84" t="n">
        <v>0.07489207963844199</v>
      </c>
      <c r="J84" t="n">
        <v>0.0083323443016941</v>
      </c>
      <c r="K84" t="n">
        <v>0.6826237620971983</v>
      </c>
      <c r="L84" t="b">
        <v>0</v>
      </c>
      <c r="M84" t="b">
        <v>0</v>
      </c>
      <c r="N84" t="inlineStr">
        <is>
          <t>ref</t>
        </is>
      </c>
      <c r="O84" t="n">
        <v>100</v>
      </c>
      <c r="P84" t="n">
        <v>0.015465</v>
      </c>
      <c r="Q84" t="n">
        <v>100</v>
      </c>
      <c r="R84" t="n">
        <v>0.0922</v>
      </c>
      <c r="S84">
        <f>IMAGE("https://mitra.stanford.edu/kundaje/oak/projects/neuro-variants/variant_position/credible/roussos_2024/variant_figures/roussos_2024.adolescence.Astrocyte/rs1167294_count_position.png",4,220,900)</f>
        <v/>
      </c>
      <c r="T84">
        <f>IMAGE("https://mitra.stanford.edu/kundaje/oak/projects/neuro-variants/variant_position/credible/roussos_2024/variant_figures/roussos_2024.adolescence.Astrocyte/rs1167294_profile_position.png",4,220,900)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0.0019532886</v>
      </c>
      <c r="G85" t="n">
        <v>0.4295782929069637</v>
      </c>
      <c r="H85" t="n">
        <v>0.0104398066417268</v>
      </c>
      <c r="I85" t="n">
        <v>0.694136422611751</v>
      </c>
      <c r="J85" t="n">
        <v>0.049859062991425</v>
      </c>
      <c r="K85" t="n">
        <v>0.4454261438587684</v>
      </c>
      <c r="L85" t="b">
        <v>0</v>
      </c>
      <c r="M85" t="b">
        <v>0</v>
      </c>
      <c r="N85" t="inlineStr">
        <is>
          <t>alt</t>
        </is>
      </c>
      <c r="O85" t="n">
        <v>90</v>
      </c>
      <c r="P85" t="n">
        <v>0.005325</v>
      </c>
      <c r="Q85" t="n">
        <v>-85</v>
      </c>
      <c r="R85" t="n">
        <v>0.01587</v>
      </c>
      <c r="S85">
        <f>IMAGE("https://mitra.stanford.edu/kundaje/oak/projects/neuro-variants/variant_position/credible/roussos_2024/variant_figures/roussos_2024.adolescence.Astrocyte/rs1405913_count_position.png",4,220,900)</f>
        <v/>
      </c>
      <c r="T85">
        <f>IMAGE("https://mitra.stanford.edu/kundaje/oak/projects/neuro-variants/variant_position/credible/roussos_2024/variant_figures/roussos_2024.adolescence.Astrocyte/rs1405913_profile_position.png",4,220,900)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-0.0355739016</v>
      </c>
      <c r="G86" t="n">
        <v>0.3637970714130031</v>
      </c>
      <c r="H86" t="n">
        <v>0.0104669981365064</v>
      </c>
      <c r="I86" t="n">
        <v>0.7178393964074989</v>
      </c>
      <c r="J86" t="n">
        <v>3.115449663234727e-05</v>
      </c>
      <c r="K86" t="n">
        <v>0.998208528489495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0.1401</v>
      </c>
      <c r="Q86" t="n">
        <v>-100</v>
      </c>
      <c r="R86" t="n">
        <v>0.1984</v>
      </c>
      <c r="S86">
        <f>IMAGE("https://mitra.stanford.edu/kundaje/oak/projects/neuro-variants/variant_position/credible/roussos_2024/variant_figures/roussos_2024.adolescence.Astrocyte/rs1305494_count_position.png",4,220,900)</f>
        <v/>
      </c>
      <c r="T86">
        <f>IMAGE("https://mitra.stanford.edu/kundaje/oak/projects/neuro-variants/variant_position/credible/roussos_2024/variant_figures/roussos_2024.adolescence.Astrocyte/rs1305494_profile_position.png",4,220,900)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-0.079690174</v>
      </c>
      <c r="G87" t="n">
        <v>0.1288482307981788</v>
      </c>
      <c r="H87" t="n">
        <v>0.0173767436671981</v>
      </c>
      <c r="I87" t="n">
        <v>0.2120132503817467</v>
      </c>
      <c r="J87" t="n">
        <v>0.0030739103343915</v>
      </c>
      <c r="K87" t="n">
        <v>0.7940256216359602</v>
      </c>
      <c r="L87" t="b">
        <v>0</v>
      </c>
      <c r="M87" t="b">
        <v>0</v>
      </c>
      <c r="N87" t="inlineStr">
        <is>
          <t>ref</t>
        </is>
      </c>
      <c r="O87" t="n">
        <v>-40</v>
      </c>
      <c r="P87" t="n">
        <v>0.0129</v>
      </c>
      <c r="Q87" t="n">
        <v>55</v>
      </c>
      <c r="R87" t="n">
        <v>0.11426</v>
      </c>
      <c r="S87">
        <f>IMAGE("https://mitra.stanford.edu/kundaje/oak/projects/neuro-variants/variant_position/credible/roussos_2024/variant_figures/roussos_2024.adolescence.Astrocyte/rs11205633_count_position.png",4,220,900)</f>
        <v/>
      </c>
      <c r="T87">
        <f>IMAGE("https://mitra.stanford.edu/kundaje/oak/projects/neuro-variants/variant_position/credible/roussos_2024/variant_figures/roussos_2024.adolescence.Astrocyte/rs11205633_profile_position.png",4,220,900)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-0.087190558</v>
      </c>
      <c r="G88" t="n">
        <v>0.1053396323462086</v>
      </c>
      <c r="H88" t="n">
        <v>0.0134651346571802</v>
      </c>
      <c r="I88" t="n">
        <v>0.4254552680393906</v>
      </c>
      <c r="J88" t="n">
        <v>0.0022141945820846</v>
      </c>
      <c r="K88" t="n">
        <v>0.8387681639057147</v>
      </c>
      <c r="L88" t="b">
        <v>0</v>
      </c>
      <c r="M88" t="b">
        <v>0</v>
      </c>
      <c r="N88" t="inlineStr">
        <is>
          <t>ref</t>
        </is>
      </c>
      <c r="O88" t="n">
        <v>85</v>
      </c>
      <c r="P88" t="n">
        <v>0.006813</v>
      </c>
      <c r="Q88" t="n">
        <v>100</v>
      </c>
      <c r="R88" t="n">
        <v>0.1643</v>
      </c>
      <c r="S88">
        <f>IMAGE("https://mitra.stanford.edu/kundaje/oak/projects/neuro-variants/variant_position/credible/roussos_2024/variant_figures/roussos_2024.adolescence.Astrocyte/rs6684606_count_position.png",4,220,900)</f>
        <v/>
      </c>
      <c r="T88">
        <f>IMAGE("https://mitra.stanford.edu/kundaje/oak/projects/neuro-variants/variant_position/credible/roussos_2024/variant_figures/roussos_2024.adolescence.Astrocyte/rs6684606_profile_position.png",4,220,900)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0.0117957617199999</v>
      </c>
      <c r="G89" t="n">
        <v>0.6699679435722973</v>
      </c>
      <c r="H89" t="n">
        <v>0.0127820175574429</v>
      </c>
      <c r="I89" t="n">
        <v>0.4839354237974163</v>
      </c>
      <c r="J89" t="n">
        <v>0.0074844969290567</v>
      </c>
      <c r="K89" t="n">
        <v>0.7083010515342456</v>
      </c>
      <c r="L89" t="b">
        <v>0</v>
      </c>
      <c r="M89" t="b">
        <v>0</v>
      </c>
      <c r="N89" t="inlineStr">
        <is>
          <t>alt</t>
        </is>
      </c>
      <c r="O89" t="n">
        <v>-75</v>
      </c>
      <c r="P89" t="n">
        <v>0.005493</v>
      </c>
      <c r="Q89" t="n">
        <v>-80</v>
      </c>
      <c r="R89" t="n">
        <v>0.1354</v>
      </c>
      <c r="S89">
        <f>IMAGE("https://mitra.stanford.edu/kundaje/oak/projects/neuro-variants/variant_position/credible/roussos_2024/variant_figures/roussos_2024.adolescence.Astrocyte/rs6588355_count_position.png",4,220,900)</f>
        <v/>
      </c>
      <c r="T89">
        <f>IMAGE("https://mitra.stanford.edu/kundaje/oak/projects/neuro-variants/variant_position/credible/roussos_2024/variant_figures/roussos_2024.adolescence.Astrocyte/rs6588355_profile_position.png",4,220,900)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0.0325368143</v>
      </c>
      <c r="G90" t="n">
        <v>0.3668115816410333</v>
      </c>
      <c r="H90" t="n">
        <v>0.0119022365645186</v>
      </c>
      <c r="I90" t="n">
        <v>0.5592653143738923</v>
      </c>
      <c r="J90" t="n">
        <v>0.2514041776696437</v>
      </c>
      <c r="K90" t="n">
        <v>0.1652169460378632</v>
      </c>
      <c r="L90" t="b">
        <v>0</v>
      </c>
      <c r="M90" t="b">
        <v>0</v>
      </c>
      <c r="N90" t="inlineStr">
        <is>
          <t>alt</t>
        </is>
      </c>
      <c r="O90" t="n">
        <v>100</v>
      </c>
      <c r="P90" t="n">
        <v>0.006645</v>
      </c>
      <c r="Q90" t="n">
        <v>-100</v>
      </c>
      <c r="R90" t="n">
        <v>0.1013</v>
      </c>
      <c r="S90">
        <f>IMAGE("https://mitra.stanford.edu/kundaje/oak/projects/neuro-variants/variant_position/credible/roussos_2024/variant_figures/roussos_2024.adolescence.Astrocyte/rs6660689_count_position.png",4,220,900)</f>
        <v/>
      </c>
      <c r="T90">
        <f>IMAGE("https://mitra.stanford.edu/kundaje/oak/projects/neuro-variants/variant_position/credible/roussos_2024/variant_figures/roussos_2024.adolescence.Astrocyte/rs6660689_profile_position.png",4,220,900)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-0.08823473699999999</v>
      </c>
      <c r="G91" t="n">
        <v>0.09710612370351999</v>
      </c>
      <c r="H91" t="n">
        <v>0.0179490346205528</v>
      </c>
      <c r="I91" t="n">
        <v>0.1941575014710302</v>
      </c>
      <c r="J91" t="n">
        <v>6.97267305581081e-05</v>
      </c>
      <c r="K91" t="n">
        <v>0.9887832937217724</v>
      </c>
      <c r="L91" t="b">
        <v>0</v>
      </c>
      <c r="M91" t="b">
        <v>0</v>
      </c>
      <c r="N91" t="inlineStr">
        <is>
          <t>ref</t>
        </is>
      </c>
      <c r="O91" t="n">
        <v>-35</v>
      </c>
      <c r="P91" t="n">
        <v>0.01349</v>
      </c>
      <c r="Q91" t="n">
        <v>-100</v>
      </c>
      <c r="R91" t="n">
        <v>0.273</v>
      </c>
      <c r="S91">
        <f>IMAGE("https://mitra.stanford.edu/kundaje/oak/projects/neuro-variants/variant_position/credible/roussos_2024/variant_figures/roussos_2024.adolescence.Astrocyte/rs12137221_count_position.png",4,220,900)</f>
        <v/>
      </c>
      <c r="T91">
        <f>IMAGE("https://mitra.stanford.edu/kundaje/oak/projects/neuro-variants/variant_position/credible/roussos_2024/variant_figures/roussos_2024.adolescence.Astrocyte/rs12137221_profile_position.png",4,220,900)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0.00691997672</v>
      </c>
      <c r="G92" t="n">
        <v>0.7858169462499289</v>
      </c>
      <c r="H92" t="n">
        <v>0.0078835542505119</v>
      </c>
      <c r="I92" t="n">
        <v>0.9277055916699952</v>
      </c>
      <c r="J92" t="n">
        <v>0.0008218852921104</v>
      </c>
      <c r="K92" t="n">
        <v>0.8945049124929985</v>
      </c>
      <c r="L92" t="b">
        <v>0</v>
      </c>
      <c r="M92" t="b">
        <v>0</v>
      </c>
      <c r="N92" t="inlineStr">
        <is>
          <t>alt</t>
        </is>
      </c>
      <c r="O92" t="n">
        <v>65</v>
      </c>
      <c r="P92" t="n">
        <v>0.002361</v>
      </c>
      <c r="Q92" t="n">
        <v>-85</v>
      </c>
      <c r="R92" t="n">
        <v>0.07825</v>
      </c>
      <c r="S92">
        <f>IMAGE("https://mitra.stanford.edu/kundaje/oak/projects/neuro-variants/variant_position/credible/roussos_2024/variant_figures/roussos_2024.adolescence.Astrocyte/rs4926540_count_position.png",4,220,900)</f>
        <v/>
      </c>
      <c r="T92">
        <f>IMAGE("https://mitra.stanford.edu/kundaje/oak/projects/neuro-variants/variant_position/credible/roussos_2024/variant_figures/roussos_2024.adolescence.Astrocyte/rs4926540_profile_position.png",4,220,900)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-0.0551013738</v>
      </c>
      <c r="G93" t="n">
        <v>0.215929378707782</v>
      </c>
      <c r="H93" t="n">
        <v>0.0138172357949886</v>
      </c>
      <c r="I93" t="n">
        <v>0.3984121361178184</v>
      </c>
      <c r="J93" t="n">
        <v>0.0007959232115835</v>
      </c>
      <c r="K93" t="n">
        <v>0.895886555341159</v>
      </c>
      <c r="L93" t="b">
        <v>0</v>
      </c>
      <c r="M93" t="b">
        <v>0</v>
      </c>
      <c r="N93" t="inlineStr">
        <is>
          <t>ref</t>
        </is>
      </c>
      <c r="O93" t="n">
        <v>-100</v>
      </c>
      <c r="P93" t="n">
        <v>0.0213</v>
      </c>
      <c r="Q93" t="n">
        <v>75</v>
      </c>
      <c r="R93" t="n">
        <v>0.005585</v>
      </c>
      <c r="S93">
        <f>IMAGE("https://mitra.stanford.edu/kundaje/oak/projects/neuro-variants/variant_position/credible/roussos_2024/variant_figures/roussos_2024.adolescence.Astrocyte/rs68007327_count_position.png",4,220,900)</f>
        <v/>
      </c>
      <c r="T93">
        <f>IMAGE("https://mitra.stanford.edu/kundaje/oak/projects/neuro-variants/variant_position/credible/roussos_2024/variant_figures/roussos_2024.adolescence.Astrocyte/rs68007327_profile_position.png",4,220,900)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-0.08232681072</v>
      </c>
      <c r="G94" t="n">
        <v>0.1294712046978601</v>
      </c>
      <c r="H94" t="n">
        <v>0.0210447616018919</v>
      </c>
      <c r="I94" t="n">
        <v>0.1257766872921334</v>
      </c>
      <c r="J94" t="n">
        <v>0.0827886241580867</v>
      </c>
      <c r="K94" t="n">
        <v>0.3673043010599083</v>
      </c>
      <c r="L94" t="b">
        <v>0</v>
      </c>
      <c r="M94" t="b">
        <v>0</v>
      </c>
      <c r="N94" t="inlineStr">
        <is>
          <t>ref</t>
        </is>
      </c>
      <c r="O94" t="n">
        <v>-85</v>
      </c>
      <c r="P94" t="n">
        <v>0.003685</v>
      </c>
      <c r="Q94" t="n">
        <v>60</v>
      </c>
      <c r="R94" t="n">
        <v>0.036</v>
      </c>
      <c r="S94">
        <f>IMAGE("https://mitra.stanford.edu/kundaje/oak/projects/neuro-variants/variant_position/credible/roussos_2024/variant_figures/roussos_2024.adolescence.Astrocyte/rs987335_count_position.png",4,220,900)</f>
        <v/>
      </c>
      <c r="T94">
        <f>IMAGE("https://mitra.stanford.edu/kundaje/oak/projects/neuro-variants/variant_position/credible/roussos_2024/variant_figures/roussos_2024.adolescence.Astrocyte/rs987335_profile_position.png",4,220,900)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-0.0055787187</v>
      </c>
      <c r="G95" t="n">
        <v>0.8414135593257037</v>
      </c>
      <c r="H95" t="n">
        <v>0.0282773904290102</v>
      </c>
      <c r="I95" t="n">
        <v>0.0404096298963911</v>
      </c>
      <c r="J95" t="n">
        <v>0.0005162745156217</v>
      </c>
      <c r="K95" t="n">
        <v>0.9138279764243428</v>
      </c>
      <c r="L95" t="b">
        <v>0</v>
      </c>
      <c r="M95" t="b">
        <v>0</v>
      </c>
      <c r="N95" t="inlineStr">
        <is>
          <t>ref</t>
        </is>
      </c>
      <c r="O95" t="n">
        <v>70</v>
      </c>
      <c r="P95" t="n">
        <v>0.004692</v>
      </c>
      <c r="Q95" t="n">
        <v>-80</v>
      </c>
      <c r="R95" t="n">
        <v>0.03613</v>
      </c>
      <c r="S95">
        <f>IMAGE("https://mitra.stanford.edu/kundaje/oak/projects/neuro-variants/variant_position/credible/roussos_2024/variant_figures/roussos_2024.adolescence.Astrocyte/rs11207639_count_position.png",4,220,900)</f>
        <v/>
      </c>
      <c r="T95">
        <f>IMAGE("https://mitra.stanford.edu/kundaje/oak/projects/neuro-variants/variant_position/credible/roussos_2024/variant_figures/roussos_2024.adolescence.Astrocyte/rs11207639_profile_position.png",4,220,900)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0.628061086</v>
      </c>
      <c r="G96" t="n">
        <v>0.000507842579844</v>
      </c>
      <c r="H96" t="n">
        <v>0.0623460192112352</v>
      </c>
      <c r="I96" t="n">
        <v>0.0016848637429409</v>
      </c>
      <c r="J96" t="n">
        <v>0.09559015517906411</v>
      </c>
      <c r="K96" t="n">
        <v>0.3321355591005213</v>
      </c>
      <c r="L96" t="b">
        <v>1</v>
      </c>
      <c r="M96" t="b">
        <v>1</v>
      </c>
      <c r="N96" t="inlineStr">
        <is>
          <t>alt</t>
        </is>
      </c>
      <c r="O96" t="n">
        <v>0</v>
      </c>
      <c r="P96" t="n">
        <v>0</v>
      </c>
      <c r="Q96" t="n">
        <v>0</v>
      </c>
      <c r="R96" t="n">
        <v>0</v>
      </c>
      <c r="S96">
        <f>IMAGE("https://mitra.stanford.edu/kundaje/oak/projects/neuro-variants/variant_position/credible/roussos_2024/variant_figures/roussos_2024.adolescence.Astrocyte/rs484743_count_position.png",4,220,900)</f>
        <v/>
      </c>
      <c r="T96">
        <f>IMAGE("https://mitra.stanford.edu/kundaje/oak/projects/neuro-variants/variant_position/credible/roussos_2024/variant_figures/roussos_2024.adolescence.Astrocyte/rs484743_profile_position.png",4,220,900)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0.02802804232</v>
      </c>
      <c r="G97" t="n">
        <v>0.4283043343409518</v>
      </c>
      <c r="H97" t="n">
        <v>0.0238107955350312</v>
      </c>
      <c r="I97" t="n">
        <v>0.0747380693098947</v>
      </c>
      <c r="J97" t="n">
        <v>0.2023899949559386</v>
      </c>
      <c r="K97" t="n">
        <v>0.2059859454398274</v>
      </c>
      <c r="L97" t="b">
        <v>0</v>
      </c>
      <c r="M97" t="b">
        <v>0</v>
      </c>
      <c r="N97" t="inlineStr">
        <is>
          <t>alt</t>
        </is>
      </c>
      <c r="O97" t="n">
        <v>-50</v>
      </c>
      <c r="P97" t="n">
        <v>0.01464</v>
      </c>
      <c r="Q97" t="n">
        <v>65</v>
      </c>
      <c r="R97" t="n">
        <v>0.03748</v>
      </c>
      <c r="S97">
        <f>IMAGE("https://mitra.stanford.edu/kundaje/oak/projects/neuro-variants/variant_position/credible/roussos_2024/variant_figures/roussos_2024.adolescence.Astrocyte/rs10218679_count_position.png",4,220,900)</f>
        <v/>
      </c>
      <c r="T97">
        <f>IMAGE("https://mitra.stanford.edu/kundaje/oak/projects/neuro-variants/variant_position/credible/roussos_2024/variant_figures/roussos_2024.adolescence.Astrocyte/rs10218679_profile_position.png",4,220,900)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-0.0262492183999999</v>
      </c>
      <c r="G98" t="n">
        <v>0.431052933013417</v>
      </c>
      <c r="H98" t="n">
        <v>0.0204920732329257</v>
      </c>
      <c r="I98" t="n">
        <v>0.1287337127755878</v>
      </c>
      <c r="J98" t="n">
        <v>0.0280946799988131</v>
      </c>
      <c r="K98" t="n">
        <v>0.5227763673098542</v>
      </c>
      <c r="L98" t="b">
        <v>0</v>
      </c>
      <c r="M98" t="b">
        <v>0</v>
      </c>
      <c r="N98" t="inlineStr">
        <is>
          <t>ref</t>
        </is>
      </c>
      <c r="O98" t="n">
        <v>95</v>
      </c>
      <c r="P98" t="n">
        <v>0.01253</v>
      </c>
      <c r="Q98" t="n">
        <v>95</v>
      </c>
      <c r="R98" t="n">
        <v>0.2878</v>
      </c>
      <c r="S98">
        <f>IMAGE("https://mitra.stanford.edu/kundaje/oak/projects/neuro-variants/variant_position/credible/roussos_2024/variant_figures/roussos_2024.adolescence.Astrocyte/rs2987774_count_position.png",4,220,900)</f>
        <v/>
      </c>
      <c r="T98">
        <f>IMAGE("https://mitra.stanford.edu/kundaje/oak/projects/neuro-variants/variant_position/credible/roussos_2024/variant_figures/roussos_2024.adolescence.Astrocyte/rs2987774_profile_position.png",4,220,900)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0.01801101892</v>
      </c>
      <c r="G99" t="n">
        <v>0.5855425635377703</v>
      </c>
      <c r="H99" t="n">
        <v>0.0566948080091299</v>
      </c>
      <c r="I99" t="n">
        <v>0.0023612112670405</v>
      </c>
      <c r="J99" t="n">
        <v>0.0001987953594635</v>
      </c>
      <c r="K99" t="n">
        <v>0.9599828516804521</v>
      </c>
      <c r="L99" t="b">
        <v>0</v>
      </c>
      <c r="M99" t="b">
        <v>0</v>
      </c>
      <c r="N99" t="inlineStr">
        <is>
          <t>alt</t>
        </is>
      </c>
      <c r="O99" t="n">
        <v>-95</v>
      </c>
      <c r="P99" t="n">
        <v>0.004578</v>
      </c>
      <c r="Q99" t="n">
        <v>55</v>
      </c>
      <c r="R99" t="n">
        <v>0.02725</v>
      </c>
      <c r="S99">
        <f>IMAGE("https://mitra.stanford.edu/kundaje/oak/projects/neuro-variants/variant_position/credible/roussos_2024/variant_figures/roussos_2024.adolescence.Astrocyte/rs494011_count_position.png",4,220,900)</f>
        <v/>
      </c>
      <c r="T99">
        <f>IMAGE("https://mitra.stanford.edu/kundaje/oak/projects/neuro-variants/variant_position/credible/roussos_2024/variant_figures/roussos_2024.adolescence.Astrocyte/rs494011_profile_position.png",4,220,900)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0.139872699</v>
      </c>
      <c r="G100" t="n">
        <v>0.0448872540712833</v>
      </c>
      <c r="H100" t="n">
        <v>0.0150974141003157</v>
      </c>
      <c r="I100" t="n">
        <v>0.3425457663136884</v>
      </c>
      <c r="J100" t="n">
        <v>0.0088812568614069</v>
      </c>
      <c r="K100" t="n">
        <v>0.7009852706086593</v>
      </c>
      <c r="L100" t="b">
        <v>0</v>
      </c>
      <c r="M100" t="b">
        <v>0</v>
      </c>
      <c r="N100" t="inlineStr">
        <is>
          <t>alt</t>
        </is>
      </c>
      <c r="O100" t="n">
        <v>100</v>
      </c>
      <c r="P100" t="n">
        <v>0.0206</v>
      </c>
      <c r="Q100" t="n">
        <v>100</v>
      </c>
      <c r="R100" t="n">
        <v>0.3577</v>
      </c>
      <c r="S100">
        <f>IMAGE("https://mitra.stanford.edu/kundaje/oak/projects/neuro-variants/variant_position/credible/roussos_2024/variant_figures/roussos_2024.adolescence.Astrocyte/rs554774_count_position.png",4,220,900)</f>
        <v/>
      </c>
      <c r="T100">
        <f>IMAGE("https://mitra.stanford.edu/kundaje/oak/projects/neuro-variants/variant_position/credible/roussos_2024/variant_figures/roussos_2024.adolescence.Astrocyte/rs554774_profile_position.png",4,220,900)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-0.1005644346</v>
      </c>
      <c r="G101" t="n">
        <v>0.09061076954765521</v>
      </c>
      <c r="H101" t="n">
        <v>0.0149843820887032</v>
      </c>
      <c r="I101" t="n">
        <v>0.3387402349410948</v>
      </c>
      <c r="J101" t="n">
        <v>0.047403050173575</v>
      </c>
      <c r="K101" t="n">
        <v>0.455120334135436</v>
      </c>
      <c r="L101" t="b">
        <v>0</v>
      </c>
      <c r="M101" t="b">
        <v>0</v>
      </c>
      <c r="N101" t="inlineStr">
        <is>
          <t>ref</t>
        </is>
      </c>
      <c r="O101" t="n">
        <v>-30</v>
      </c>
      <c r="P101" t="n">
        <v>0.002975</v>
      </c>
      <c r="Q101" t="n">
        <v>0</v>
      </c>
      <c r="R101" t="n">
        <v>0</v>
      </c>
      <c r="S101">
        <f>IMAGE("https://mitra.stanford.edu/kundaje/oak/projects/neuro-variants/variant_position/credible/roussos_2024/variant_figures/roussos_2024.adolescence.Astrocyte/rs489543_count_position.png",4,220,900)</f>
        <v/>
      </c>
      <c r="T101">
        <f>IMAGE("https://mitra.stanford.edu/kundaje/oak/projects/neuro-variants/variant_position/credible/roussos_2024/variant_figures/roussos_2024.adolescence.Astrocyte/rs489543_profile_position.png",4,220,900)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-0.0234851309799999</v>
      </c>
      <c r="G102" t="n">
        <v>0.5248156847112823</v>
      </c>
      <c r="H102" t="n">
        <v>0.0201311688733504</v>
      </c>
      <c r="I102" t="n">
        <v>0.1331995660985776</v>
      </c>
      <c r="J102" t="n">
        <v>0.0295359463549238</v>
      </c>
      <c r="K102" t="n">
        <v>0.5231111859784838</v>
      </c>
      <c r="L102" t="b">
        <v>0</v>
      </c>
      <c r="M102" t="b">
        <v>0</v>
      </c>
      <c r="N102" t="inlineStr">
        <is>
          <t>ref</t>
        </is>
      </c>
      <c r="O102" t="n">
        <v>-95</v>
      </c>
      <c r="P102" t="n">
        <v>0.02278</v>
      </c>
      <c r="Q102" t="n">
        <v>-75</v>
      </c>
      <c r="R102" t="n">
        <v>0.2096</v>
      </c>
      <c r="S102">
        <f>IMAGE("https://mitra.stanford.edu/kundaje/oak/projects/neuro-variants/variant_position/credible/roussos_2024/variant_figures/roussos_2024.adolescence.Astrocyte/rs471660_count_position.png",4,220,900)</f>
        <v/>
      </c>
      <c r="T102">
        <f>IMAGE("https://mitra.stanford.edu/kundaje/oak/projects/neuro-variants/variant_position/credible/roussos_2024/variant_figures/roussos_2024.adolescence.Astrocyte/rs471660_profile_position.png",4,220,900)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-0.0161402059</v>
      </c>
      <c r="G103" t="n">
        <v>0.5544921094405755</v>
      </c>
      <c r="H103" t="n">
        <v>0.0159402621794091</v>
      </c>
      <c r="I103" t="n">
        <v>0.2764018377591629</v>
      </c>
      <c r="J103" t="n">
        <v>0.0037696940925139</v>
      </c>
      <c r="K103" t="n">
        <v>0.7688580599326337</v>
      </c>
      <c r="L103" t="b">
        <v>0</v>
      </c>
      <c r="M103" t="b">
        <v>0</v>
      </c>
      <c r="N103" t="inlineStr">
        <is>
          <t>ref</t>
        </is>
      </c>
      <c r="O103" t="n">
        <v>-10</v>
      </c>
      <c r="P103" t="n">
        <v>0.001175</v>
      </c>
      <c r="Q103" t="n">
        <v>50</v>
      </c>
      <c r="R103" t="n">
        <v>0.05518</v>
      </c>
      <c r="S103">
        <f>IMAGE("https://mitra.stanford.edu/kundaje/oak/projects/neuro-variants/variant_position/credible/roussos_2024/variant_figures/roussos_2024.adolescence.Astrocyte/rs4077431_count_position.png",4,220,900)</f>
        <v/>
      </c>
      <c r="T103">
        <f>IMAGE("https://mitra.stanford.edu/kundaje/oak/projects/neuro-variants/variant_position/credible/roussos_2024/variant_figures/roussos_2024.adolescence.Astrocyte/rs4077431_profile_position.png",4,220,900)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0.0303517211999999</v>
      </c>
      <c r="G104" t="n">
        <v>0.3925270856033796</v>
      </c>
      <c r="H104" t="n">
        <v>0.012991170753284</v>
      </c>
      <c r="I104" t="n">
        <v>0.4684023220869426</v>
      </c>
      <c r="J104" t="n">
        <v>0.0033172121176155</v>
      </c>
      <c r="K104" t="n">
        <v>0.7820833321134968</v>
      </c>
      <c r="L104" t="b">
        <v>0</v>
      </c>
      <c r="M104" t="b">
        <v>0</v>
      </c>
      <c r="N104" t="inlineStr">
        <is>
          <t>alt</t>
        </is>
      </c>
      <c r="O104" t="n">
        <v>55</v>
      </c>
      <c r="P104" t="n">
        <v>0.00478</v>
      </c>
      <c r="Q104" t="n">
        <v>-90</v>
      </c>
      <c r="R104" t="n">
        <v>0.2437</v>
      </c>
      <c r="S104">
        <f>IMAGE("https://mitra.stanford.edu/kundaje/oak/projects/neuro-variants/variant_position/credible/roussos_2024/variant_figures/roussos_2024.adolescence.Astrocyte/rs4133072_count_position.png",4,220,900)</f>
        <v/>
      </c>
      <c r="T104">
        <f>IMAGE("https://mitra.stanford.edu/kundaje/oak/projects/neuro-variants/variant_position/credible/roussos_2024/variant_figures/roussos_2024.adolescence.Astrocyte/rs4133072_profile_position.png",4,220,900)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-0.07355066859999999</v>
      </c>
      <c r="G105" t="n">
        <v>0.1630555750106059</v>
      </c>
      <c r="H105" t="n">
        <v>0.0161700879913976</v>
      </c>
      <c r="I105" t="n">
        <v>0.2636822292624312</v>
      </c>
      <c r="J105" t="n">
        <v>0.0555232471886774</v>
      </c>
      <c r="K105" t="n">
        <v>0.4352717002417978</v>
      </c>
      <c r="L105" t="b">
        <v>0</v>
      </c>
      <c r="M105" t="b">
        <v>0</v>
      </c>
      <c r="N105" t="inlineStr">
        <is>
          <t>ref</t>
        </is>
      </c>
      <c r="O105" t="n">
        <v>-90</v>
      </c>
      <c r="P105" t="n">
        <v>0.00746</v>
      </c>
      <c r="Q105" t="n">
        <v>45</v>
      </c>
      <c r="R105" t="n">
        <v>0.04907</v>
      </c>
      <c r="S105">
        <f>IMAGE("https://mitra.stanford.edu/kundaje/oak/projects/neuro-variants/variant_position/credible/roussos_2024/variant_figures/roussos_2024.adolescence.Astrocyte/rs12129719_count_position.png",4,220,900)</f>
        <v/>
      </c>
      <c r="T105">
        <f>IMAGE("https://mitra.stanford.edu/kundaje/oak/projects/neuro-variants/variant_position/credible/roussos_2024/variant_figures/roussos_2024.adolescence.Astrocyte/rs12129719_profile_position.png",4,220,900)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-0.073446848</v>
      </c>
      <c r="G106" t="n">
        <v>0.1634875494053108</v>
      </c>
      <c r="H106" t="n">
        <v>0.0130084198688018</v>
      </c>
      <c r="I106" t="n">
        <v>0.4629349068338145</v>
      </c>
      <c r="J106" t="n">
        <v>0.2340526065928848</v>
      </c>
      <c r="K106" t="n">
        <v>0.1757036487883176</v>
      </c>
      <c r="L106" t="b">
        <v>0</v>
      </c>
      <c r="M106" t="b">
        <v>0</v>
      </c>
      <c r="N106" t="inlineStr">
        <is>
          <t>ref</t>
        </is>
      </c>
      <c r="O106" t="n">
        <v>100</v>
      </c>
      <c r="P106" t="n">
        <v>0.013336</v>
      </c>
      <c r="Q106" t="n">
        <v>65</v>
      </c>
      <c r="R106" t="n">
        <v>0.02148</v>
      </c>
      <c r="S106">
        <f>IMAGE("https://mitra.stanford.edu/kundaje/oak/projects/neuro-variants/variant_position/credible/roussos_2024/variant_figures/roussos_2024.adolescence.Astrocyte/rs954299_count_position.png",4,220,900)</f>
        <v/>
      </c>
      <c r="T106">
        <f>IMAGE("https://mitra.stanford.edu/kundaje/oak/projects/neuro-variants/variant_position/credible/roussos_2024/variant_figures/roussos_2024.adolescence.Astrocyte/rs954299_profile_position.png",4,220,900)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0.027914578924</v>
      </c>
      <c r="G107" t="n">
        <v>0.4708655513701998</v>
      </c>
      <c r="H107" t="n">
        <v>0.0394575076814882</v>
      </c>
      <c r="I107" t="n">
        <v>0.0102129929845611</v>
      </c>
      <c r="J107" t="n">
        <v>0.1478933626086698</v>
      </c>
      <c r="K107" t="n">
        <v>0.2544756455993172</v>
      </c>
      <c r="L107" t="b">
        <v>1</v>
      </c>
      <c r="M107" t="b">
        <v>0</v>
      </c>
      <c r="N107" t="inlineStr">
        <is>
          <t>alt</t>
        </is>
      </c>
      <c r="O107" t="n">
        <v>-100</v>
      </c>
      <c r="P107" t="n">
        <v>0.014366</v>
      </c>
      <c r="Q107" t="n">
        <v>-90</v>
      </c>
      <c r="R107" t="n">
        <v>0.1904</v>
      </c>
      <c r="S107">
        <f>IMAGE("https://mitra.stanford.edu/kundaje/oak/projects/neuro-variants/variant_position/credible/roussos_2024/variant_figures/roussos_2024.adolescence.Astrocyte/rs2422013_count_position.png",4,220,900)</f>
        <v/>
      </c>
      <c r="T107">
        <f>IMAGE("https://mitra.stanford.edu/kundaje/oak/projects/neuro-variants/variant_position/credible/roussos_2024/variant_figures/roussos_2024.adolescence.Astrocyte/rs2422013_profile_position.png",4,220,900)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0.0248320574</v>
      </c>
      <c r="G108" t="n">
        <v>0.391137735418739</v>
      </c>
      <c r="H108" t="n">
        <v>0.0309514733814563</v>
      </c>
      <c r="I108" t="n">
        <v>0.0276624876798922</v>
      </c>
      <c r="J108" t="n">
        <v>0.1024404355695338</v>
      </c>
      <c r="K108" t="n">
        <v>0.3212556148517149</v>
      </c>
      <c r="L108" t="b">
        <v>0</v>
      </c>
      <c r="M108" t="b">
        <v>0</v>
      </c>
      <c r="N108" t="inlineStr">
        <is>
          <t>alt</t>
        </is>
      </c>
      <c r="O108" t="n">
        <v>100</v>
      </c>
      <c r="P108" t="n">
        <v>0.01386</v>
      </c>
      <c r="Q108" t="n">
        <v>-45</v>
      </c>
      <c r="R108" t="n">
        <v>0.1875</v>
      </c>
      <c r="S108">
        <f>IMAGE("https://mitra.stanford.edu/kundaje/oak/projects/neuro-variants/variant_position/credible/roussos_2024/variant_figures/roussos_2024.adolescence.Astrocyte/rs2901616_count_position.png",4,220,900)</f>
        <v/>
      </c>
      <c r="T108">
        <f>IMAGE("https://mitra.stanford.edu/kundaje/oak/projects/neuro-variants/variant_position/credible/roussos_2024/variant_figures/roussos_2024.adolescence.Astrocyte/rs2901616_profile_position.png",4,220,900)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-0.0041386670199999</v>
      </c>
      <c r="G109" t="n">
        <v>0.8060782875621743</v>
      </c>
      <c r="H109" t="n">
        <v>0.0228824755722474</v>
      </c>
      <c r="I109" t="n">
        <v>0.086505157739537</v>
      </c>
      <c r="J109" t="n">
        <v>0.0014056612171022</v>
      </c>
      <c r="K109" t="n">
        <v>0.8592824321218205</v>
      </c>
      <c r="L109" t="b">
        <v>0</v>
      </c>
      <c r="M109" t="b">
        <v>0</v>
      </c>
      <c r="N109" t="inlineStr">
        <is>
          <t>ref</t>
        </is>
      </c>
      <c r="O109" t="n">
        <v>-100</v>
      </c>
      <c r="P109" t="n">
        <v>0.00639</v>
      </c>
      <c r="Q109" t="n">
        <v>100</v>
      </c>
      <c r="R109" t="n">
        <v>0.0814</v>
      </c>
      <c r="S109">
        <f>IMAGE("https://mitra.stanford.edu/kundaje/oak/projects/neuro-variants/variant_position/credible/roussos_2024/variant_figures/roussos_2024.adolescence.Astrocyte/rs2422016_count_position.png",4,220,900)</f>
        <v/>
      </c>
      <c r="T109">
        <f>IMAGE("https://mitra.stanford.edu/kundaje/oak/projects/neuro-variants/variant_position/credible/roussos_2024/variant_figures/roussos_2024.adolescence.Astrocyte/rs2422016_profile_position.png",4,220,900)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-0.126110938</v>
      </c>
      <c r="G110" t="n">
        <v>0.0503051033736397</v>
      </c>
      <c r="H110" t="n">
        <v>0.0246088616066427</v>
      </c>
      <c r="I110" t="n">
        <v>0.0688297878478103</v>
      </c>
      <c r="J110" t="n">
        <v>0.0042273684835177</v>
      </c>
      <c r="K110" t="n">
        <v>0.7611765193339207</v>
      </c>
      <c r="L110" t="b">
        <v>0</v>
      </c>
      <c r="M110" t="b">
        <v>0</v>
      </c>
      <c r="N110" t="inlineStr">
        <is>
          <t>ref</t>
        </is>
      </c>
      <c r="O110" t="n">
        <v>-95</v>
      </c>
      <c r="P110" t="n">
        <v>0.005432</v>
      </c>
      <c r="Q110" t="n">
        <v>-60</v>
      </c>
      <c r="R110" t="n">
        <v>0.227</v>
      </c>
      <c r="S110">
        <f>IMAGE("https://mitra.stanford.edu/kundaje/oak/projects/neuro-variants/variant_position/credible/roussos_2024/variant_figures/roussos_2024.adolescence.Astrocyte/rs12120761_count_position.png",4,220,900)</f>
        <v/>
      </c>
      <c r="T110">
        <f>IMAGE("https://mitra.stanford.edu/kundaje/oak/projects/neuro-variants/variant_position/credible/roussos_2024/variant_figures/roussos_2024.adolescence.Astrocyte/rs12120761_profile_position.png",4,220,900)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-0.0073736987999999</v>
      </c>
      <c r="G111" t="n">
        <v>0.589391879615028</v>
      </c>
      <c r="H111" t="n">
        <v>0.0146464936012769</v>
      </c>
      <c r="I111" t="n">
        <v>0.3482766129011467</v>
      </c>
      <c r="J111" t="n">
        <v>0.0094806100347149</v>
      </c>
      <c r="K111" t="n">
        <v>0.707522239157127</v>
      </c>
      <c r="L111" t="b">
        <v>0</v>
      </c>
      <c r="M111" t="b">
        <v>0</v>
      </c>
      <c r="N111" t="inlineStr">
        <is>
          <t>ref</t>
        </is>
      </c>
      <c r="O111" t="n">
        <v>-65</v>
      </c>
      <c r="P111" t="n">
        <v>0.02386</v>
      </c>
      <c r="Q111" t="n">
        <v>-65</v>
      </c>
      <c r="R111" t="n">
        <v>0.4692</v>
      </c>
      <c r="S111">
        <f>IMAGE("https://mitra.stanford.edu/kundaje/oak/projects/neuro-variants/variant_position/credible/roussos_2024/variant_figures/roussos_2024.adolescence.Astrocyte/rs2422021_count_position.png",4,220,900)</f>
        <v/>
      </c>
      <c r="T111">
        <f>IMAGE("https://mitra.stanford.edu/kundaje/oak/projects/neuro-variants/variant_position/credible/roussos_2024/variant_figures/roussos_2024.adolescence.Astrocyte/rs2422021_profile_position.png",4,220,900)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-0.0433419144</v>
      </c>
      <c r="G112" t="n">
        <v>0.2813327815891099</v>
      </c>
      <c r="H112" t="n">
        <v>0.0106125383364954</v>
      </c>
      <c r="I112" t="n">
        <v>0.6811826164676145</v>
      </c>
      <c r="J112" t="n">
        <v>0.0052243123757528</v>
      </c>
      <c r="K112" t="n">
        <v>0.732542590469352</v>
      </c>
      <c r="L112" t="b">
        <v>0</v>
      </c>
      <c r="M112" t="b">
        <v>0</v>
      </c>
      <c r="N112" t="inlineStr">
        <is>
          <t>ref</t>
        </is>
      </c>
      <c r="O112" t="n">
        <v>20</v>
      </c>
      <c r="P112" t="n">
        <v>0.002655</v>
      </c>
      <c r="Q112" t="n">
        <v>-85</v>
      </c>
      <c r="R112" t="n">
        <v>0.1411</v>
      </c>
      <c r="S112">
        <f>IMAGE("https://mitra.stanford.edu/kundaje/oak/projects/neuro-variants/variant_position/credible/roussos_2024/variant_figures/roussos_2024.adolescence.Astrocyte/rs7531932_count_position.png",4,220,900)</f>
        <v/>
      </c>
      <c r="T112">
        <f>IMAGE("https://mitra.stanford.edu/kundaje/oak/projects/neuro-variants/variant_position/credible/roussos_2024/variant_figures/roussos_2024.adolescence.Astrocyte/rs7531932_profile_position.png",4,220,900)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0.0844593498</v>
      </c>
      <c r="G113" t="n">
        <v>0.1123126005968295</v>
      </c>
      <c r="H113" t="n">
        <v>0.0116934813746911</v>
      </c>
      <c r="I113" t="n">
        <v>0.5833078687978784</v>
      </c>
      <c r="J113" t="n">
        <v>0.1540812390588374</v>
      </c>
      <c r="K113" t="n">
        <v>0.2468884231727589</v>
      </c>
      <c r="L113" t="b">
        <v>0</v>
      </c>
      <c r="M113" t="b">
        <v>0</v>
      </c>
      <c r="N113" t="inlineStr">
        <is>
          <t>alt</t>
        </is>
      </c>
      <c r="O113" t="n">
        <v>-100</v>
      </c>
      <c r="P113" t="n">
        <v>0.04654</v>
      </c>
      <c r="Q113" t="n">
        <v>-100</v>
      </c>
      <c r="R113" t="n">
        <v>0.157</v>
      </c>
      <c r="S113">
        <f>IMAGE("https://mitra.stanford.edu/kundaje/oak/projects/neuro-variants/variant_position/credible/roussos_2024/variant_figures/roussos_2024.adolescence.Astrocyte/rs10789321_count_position.png",4,220,900)</f>
        <v/>
      </c>
      <c r="T113">
        <f>IMAGE("https://mitra.stanford.edu/kundaje/oak/projects/neuro-variants/variant_position/credible/roussos_2024/variant_figures/roussos_2024.adolescence.Astrocyte/rs10789321_profile_position.png",4,220,900)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-0.0575101203999999</v>
      </c>
      <c r="G114" t="n">
        <v>0.2171951138429962</v>
      </c>
      <c r="H114" t="n">
        <v>0.0207398245999231</v>
      </c>
      <c r="I114" t="n">
        <v>0.1220210268722231</v>
      </c>
      <c r="J114" t="n">
        <v>0.0003760792807761</v>
      </c>
      <c r="K114" t="n">
        <v>0.9315788695894012</v>
      </c>
      <c r="L114" t="b">
        <v>0</v>
      </c>
      <c r="M114" t="b">
        <v>0</v>
      </c>
      <c r="N114" t="inlineStr">
        <is>
          <t>ref</t>
        </is>
      </c>
      <c r="O114" t="n">
        <v>-25</v>
      </c>
      <c r="P114" t="n">
        <v>0.01232</v>
      </c>
      <c r="Q114" t="n">
        <v>-5</v>
      </c>
      <c r="R114" t="n">
        <v>0.0188</v>
      </c>
      <c r="S114">
        <f>IMAGE("https://mitra.stanford.edu/kundaje/oak/projects/neuro-variants/variant_position/credible/roussos_2024/variant_figures/roussos_2024.adolescence.Astrocyte/rs11209830_count_position.png",4,220,900)</f>
        <v/>
      </c>
      <c r="T114">
        <f>IMAGE("https://mitra.stanford.edu/kundaje/oak/projects/neuro-variants/variant_position/credible/roussos_2024/variant_figures/roussos_2024.adolescence.Astrocyte/rs11209830_profile_position.png",4,220,900)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-0.056500387</v>
      </c>
      <c r="G115" t="n">
        <v>0.2037967204909457</v>
      </c>
      <c r="H115" t="n">
        <v>0.0118750167762499</v>
      </c>
      <c r="I115" t="n">
        <v>0.5536746100876471</v>
      </c>
      <c r="J115" t="n">
        <v>0.0278691807850932</v>
      </c>
      <c r="K115" t="n">
        <v>0.5281916568864823</v>
      </c>
      <c r="L115" t="b">
        <v>0</v>
      </c>
      <c r="M115" t="b">
        <v>0</v>
      </c>
      <c r="N115" t="inlineStr">
        <is>
          <t>ref</t>
        </is>
      </c>
      <c r="O115" t="n">
        <v>-80</v>
      </c>
      <c r="P115" t="n">
        <v>0.003784</v>
      </c>
      <c r="Q115" t="n">
        <v>-70</v>
      </c>
      <c r="R115" t="n">
        <v>0.178</v>
      </c>
      <c r="S115">
        <f>IMAGE("https://mitra.stanford.edu/kundaje/oak/projects/neuro-variants/variant_position/credible/roussos_2024/variant_figures/roussos_2024.adolescence.Astrocyte/rs12740031_count_position.png",4,220,900)</f>
        <v/>
      </c>
      <c r="T115">
        <f>IMAGE("https://mitra.stanford.edu/kundaje/oak/projects/neuro-variants/variant_position/credible/roussos_2024/variant_figures/roussos_2024.adolescence.Astrocyte/rs12740031_profile_position.png",4,220,900)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-0.03618731074</v>
      </c>
      <c r="G116" t="n">
        <v>0.2952889408470759</v>
      </c>
      <c r="H116" t="n">
        <v>0.0327483219897642</v>
      </c>
      <c r="I116" t="n">
        <v>0.0220676028416559</v>
      </c>
      <c r="J116" t="n">
        <v>0.0490497878527133</v>
      </c>
      <c r="K116" t="n">
        <v>0.4425882610968117</v>
      </c>
      <c r="L116" t="b">
        <v>0</v>
      </c>
      <c r="M116" t="b">
        <v>0</v>
      </c>
      <c r="N116" t="inlineStr">
        <is>
          <t>ref</t>
        </is>
      </c>
      <c r="O116" t="n">
        <v>45</v>
      </c>
      <c r="P116" t="n">
        <v>0.001312</v>
      </c>
      <c r="Q116" t="n">
        <v>0</v>
      </c>
      <c r="R116" t="n">
        <v>0</v>
      </c>
      <c r="S116">
        <f>IMAGE("https://mitra.stanford.edu/kundaje/oak/projects/neuro-variants/variant_position/credible/roussos_2024/variant_figures/roussos_2024.adolescence.Astrocyte/rs517762_count_position.png",4,220,900)</f>
        <v/>
      </c>
      <c r="T116">
        <f>IMAGE("https://mitra.stanford.edu/kundaje/oak/projects/neuro-variants/variant_position/credible/roussos_2024/variant_figures/roussos_2024.adolescence.Astrocyte/rs517762_profile_position.png",4,220,900)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0.1416217272</v>
      </c>
      <c r="G117" t="n">
        <v>0.050209559689928</v>
      </c>
      <c r="H117" t="n">
        <v>0.024362077631949</v>
      </c>
      <c r="I117" t="n">
        <v>0.0741217446012462</v>
      </c>
      <c r="J117" t="n">
        <v>0.0689916327923329</v>
      </c>
      <c r="K117" t="n">
        <v>0.3834056710649476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0.0448</v>
      </c>
      <c r="Q117" t="n">
        <v>50</v>
      </c>
      <c r="R117" t="n">
        <v>0.263</v>
      </c>
      <c r="S117">
        <f>IMAGE("https://mitra.stanford.edu/kundaje/oak/projects/neuro-variants/variant_position/credible/roussos_2024/variant_figures/roussos_2024.adolescence.Astrocyte/rs11209863_count_position.png",4,220,900)</f>
        <v/>
      </c>
      <c r="T117">
        <f>IMAGE("https://mitra.stanford.edu/kundaje/oak/projects/neuro-variants/variant_position/credible/roussos_2024/variant_figures/roussos_2024.adolescence.Astrocyte/rs11209863_profile_position.png",4,220,900)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0.098567443</v>
      </c>
      <c r="G118" t="n">
        <v>0.077345162119434</v>
      </c>
      <c r="H118" t="n">
        <v>0.0150120014805007</v>
      </c>
      <c r="I118" t="n">
        <v>0.3213022204145486</v>
      </c>
      <c r="J118" t="n">
        <v>0.0166498531288015</v>
      </c>
      <c r="K118" t="n">
        <v>0.6096697515688049</v>
      </c>
      <c r="L118" t="b">
        <v>0</v>
      </c>
      <c r="M118" t="b">
        <v>0</v>
      </c>
      <c r="N118" t="inlineStr">
        <is>
          <t>alt</t>
        </is>
      </c>
      <c r="O118" t="n">
        <v>-95</v>
      </c>
      <c r="P118" t="n">
        <v>0.004456</v>
      </c>
      <c r="Q118" t="n">
        <v>-100</v>
      </c>
      <c r="R118" t="n">
        <v>0.0703</v>
      </c>
      <c r="S118">
        <f>IMAGE("https://mitra.stanford.edu/kundaje/oak/projects/neuro-variants/variant_position/credible/roussos_2024/variant_figures/roussos_2024.adolescence.Astrocyte/rs12135442_count_position.png",4,220,900)</f>
        <v/>
      </c>
      <c r="T118">
        <f>IMAGE("https://mitra.stanford.edu/kundaje/oak/projects/neuro-variants/variant_position/credible/roussos_2024/variant_figures/roussos_2024.adolescence.Astrocyte/rs12135442_profile_position.png",4,220,900)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0.00178911364</v>
      </c>
      <c r="G119" t="n">
        <v>0.8005955008764486</v>
      </c>
      <c r="H119" t="n">
        <v>0.0120638464445868</v>
      </c>
      <c r="I119" t="n">
        <v>0.5483769571713103</v>
      </c>
      <c r="J119" t="n">
        <v>0.0009494703735571</v>
      </c>
      <c r="K119" t="n">
        <v>0.8819718254573764</v>
      </c>
      <c r="L119" t="b">
        <v>0</v>
      </c>
      <c r="M119" t="b">
        <v>0</v>
      </c>
      <c r="N119" t="inlineStr">
        <is>
          <t>alt</t>
        </is>
      </c>
      <c r="O119" t="n">
        <v>70</v>
      </c>
      <c r="P119" t="n">
        <v>0.07324</v>
      </c>
      <c r="Q119" t="n">
        <v>60</v>
      </c>
      <c r="R119" t="n">
        <v>0.08966</v>
      </c>
      <c r="S119">
        <f>IMAGE("https://mitra.stanford.edu/kundaje/oak/projects/neuro-variants/variant_position/credible/roussos_2024/variant_figures/roussos_2024.adolescence.Astrocyte/rs11210070_count_position.png",4,220,900)</f>
        <v/>
      </c>
      <c r="T119">
        <f>IMAGE("https://mitra.stanford.edu/kundaje/oak/projects/neuro-variants/variant_position/credible/roussos_2024/variant_figures/roussos_2024.adolescence.Astrocyte/rs11210070_profile_position.png",4,220,900)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0.01354794716</v>
      </c>
      <c r="G120" t="n">
        <v>0.61613402578584</v>
      </c>
      <c r="H120" t="n">
        <v>0.0237546682009668</v>
      </c>
      <c r="I120" t="n">
        <v>0.07555266124212399</v>
      </c>
      <c r="J120" t="n">
        <v>5.934189834732813e-05</v>
      </c>
      <c r="K120" t="n">
        <v>0.9913066430577544</v>
      </c>
      <c r="L120" t="b">
        <v>0</v>
      </c>
      <c r="M120" t="b">
        <v>0</v>
      </c>
      <c r="N120" t="inlineStr">
        <is>
          <t>alt</t>
        </is>
      </c>
      <c r="O120" t="n">
        <v>0</v>
      </c>
      <c r="P120" t="n">
        <v>0</v>
      </c>
      <c r="Q120" t="n">
        <v>40</v>
      </c>
      <c r="R120" t="n">
        <v>0.01727</v>
      </c>
      <c r="S120">
        <f>IMAGE("https://mitra.stanford.edu/kundaje/oak/projects/neuro-variants/variant_position/credible/roussos_2024/variant_figures/roussos_2024.adolescence.Astrocyte/rs2422320_count_position.png",4,220,900)</f>
        <v/>
      </c>
      <c r="T120">
        <f>IMAGE("https://mitra.stanford.edu/kundaje/oak/projects/neuro-variants/variant_position/credible/roussos_2024/variant_figures/roussos_2024.adolescence.Astrocyte/rs2422320_profile_position.png",4,220,900)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0.2316080239999999</v>
      </c>
      <c r="G121" t="n">
        <v>0.0148371749313672</v>
      </c>
      <c r="H121" t="n">
        <v>0.0345840556795414</v>
      </c>
      <c r="I121" t="n">
        <v>0.0195714166902394</v>
      </c>
      <c r="J121" t="n">
        <v>0.0023373290211553</v>
      </c>
      <c r="K121" t="n">
        <v>0.8287156682063784</v>
      </c>
      <c r="L121" t="b">
        <v>1</v>
      </c>
      <c r="M121" t="b">
        <v>0</v>
      </c>
      <c r="N121" t="inlineStr">
        <is>
          <t>alt</t>
        </is>
      </c>
      <c r="O121" t="n">
        <v>60</v>
      </c>
      <c r="P121" t="n">
        <v>0.014885</v>
      </c>
      <c r="Q121" t="n">
        <v>55</v>
      </c>
      <c r="R121" t="n">
        <v>0.0886</v>
      </c>
      <c r="S121">
        <f>IMAGE("https://mitra.stanford.edu/kundaje/oak/projects/neuro-variants/variant_position/credible/roussos_2024/variant_figures/roussos_2024.adolescence.Astrocyte/rs1525980_count_position.png",4,220,900)</f>
        <v/>
      </c>
      <c r="T121">
        <f>IMAGE("https://mitra.stanford.edu/kundaje/oak/projects/neuro-variants/variant_position/credible/roussos_2024/variant_figures/roussos_2024.adolescence.Astrocyte/rs1525980_profile_position.png",4,220,900)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0.0799052286</v>
      </c>
      <c r="G122" t="n">
        <v>0.1284687488894272</v>
      </c>
      <c r="H122" t="n">
        <v>0.0190033167713963</v>
      </c>
      <c r="I122" t="n">
        <v>0.1620459668215176</v>
      </c>
      <c r="J122" t="n">
        <v>0.0029611607275316</v>
      </c>
      <c r="K122" t="n">
        <v>0.8012017491650347</v>
      </c>
      <c r="L122" t="b">
        <v>0</v>
      </c>
      <c r="M122" t="b">
        <v>0</v>
      </c>
      <c r="N122" t="inlineStr">
        <is>
          <t>alt</t>
        </is>
      </c>
      <c r="O122" t="n">
        <v>45</v>
      </c>
      <c r="P122" t="n">
        <v>0.003143</v>
      </c>
      <c r="Q122" t="n">
        <v>45</v>
      </c>
      <c r="R122" t="n">
        <v>0.2229</v>
      </c>
      <c r="S122">
        <f>IMAGE("https://mitra.stanford.edu/kundaje/oak/projects/neuro-variants/variant_position/credible/roussos_2024/variant_figures/roussos_2024.adolescence.Astrocyte/rs6682845_count_position.png",4,220,900)</f>
        <v/>
      </c>
      <c r="T122">
        <f>IMAGE("https://mitra.stanford.edu/kundaje/oak/projects/neuro-variants/variant_position/credible/roussos_2024/variant_figures/roussos_2024.adolescence.Astrocyte/rs6682845_profile_position.png",4,220,900)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-0.2145659059999999</v>
      </c>
      <c r="G123" t="n">
        <v>0.0164416604819429</v>
      </c>
      <c r="H123" t="n">
        <v>0.0253546230476462</v>
      </c>
      <c r="I123" t="n">
        <v>0.0617315177634435</v>
      </c>
      <c r="J123" t="n">
        <v>0.204966175117942</v>
      </c>
      <c r="K123" t="n">
        <v>0.198290014714034</v>
      </c>
      <c r="L123" t="b">
        <v>1</v>
      </c>
      <c r="M123" t="b">
        <v>0</v>
      </c>
      <c r="N123" t="inlineStr">
        <is>
          <t>ref</t>
        </is>
      </c>
      <c r="O123" t="n">
        <v>-85</v>
      </c>
      <c r="P123" t="n">
        <v>0.009599999999999999</v>
      </c>
      <c r="Q123" t="n">
        <v>60</v>
      </c>
      <c r="R123" t="n">
        <v>0.08450000000000001</v>
      </c>
      <c r="S123">
        <f>IMAGE("https://mitra.stanford.edu/kundaje/oak/projects/neuro-variants/variant_position/credible/roussos_2024/variant_figures/roussos_2024.adolescence.Astrocyte/rs11210117_count_position.png",4,220,900)</f>
        <v/>
      </c>
      <c r="T123">
        <f>IMAGE("https://mitra.stanford.edu/kundaje/oak/projects/neuro-variants/variant_position/credible/roussos_2024/variant_figures/roussos_2024.adolescence.Astrocyte/rs11210117_profile_position.png",4,220,900)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-0.0780916619999999</v>
      </c>
      <c r="G124" t="n">
        <v>0.1336903188517004</v>
      </c>
      <c r="H124" t="n">
        <v>0.0200760904424712</v>
      </c>
      <c r="I124" t="n">
        <v>0.1350430067038236</v>
      </c>
      <c r="J124" t="n">
        <v>0.0014049194433729</v>
      </c>
      <c r="K124" t="n">
        <v>0.8578401054498386</v>
      </c>
      <c r="L124" t="b">
        <v>0</v>
      </c>
      <c r="M124" t="b">
        <v>0</v>
      </c>
      <c r="N124" t="inlineStr">
        <is>
          <t>ref</t>
        </is>
      </c>
      <c r="O124" t="n">
        <v>-60</v>
      </c>
      <c r="P124" t="n">
        <v>0.00278</v>
      </c>
      <c r="Q124" t="n">
        <v>-10</v>
      </c>
      <c r="R124" t="n">
        <v>0.01172</v>
      </c>
      <c r="S124">
        <f>IMAGE("https://mitra.stanford.edu/kundaje/oak/projects/neuro-variants/variant_position/credible/roussos_2024/variant_figures/roussos_2024.adolescence.Astrocyte/rs11210120_count_position.png",4,220,900)</f>
        <v/>
      </c>
      <c r="T124">
        <f>IMAGE("https://mitra.stanford.edu/kundaje/oak/projects/neuro-variants/variant_position/credible/roussos_2024/variant_figures/roussos_2024.adolescence.Astrocyte/rs11210120_profile_position.png",4,220,900)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-0.0142294642</v>
      </c>
      <c r="G125" t="n">
        <v>0.4869258347838167</v>
      </c>
      <c r="H125" t="n">
        <v>0.0088307844442518</v>
      </c>
      <c r="I125" t="n">
        <v>0.8467115497138984</v>
      </c>
      <c r="J125" t="n">
        <v>0.0321143518381152</v>
      </c>
      <c r="K125" t="n">
        <v>0.5389426755366438</v>
      </c>
      <c r="L125" t="b">
        <v>0</v>
      </c>
      <c r="M125" t="b">
        <v>0</v>
      </c>
      <c r="N125" t="inlineStr">
        <is>
          <t>ref</t>
        </is>
      </c>
      <c r="O125" t="n">
        <v>-5</v>
      </c>
      <c r="P125" t="n">
        <v>6.104e-05</v>
      </c>
      <c r="Q125" t="n">
        <v>-90</v>
      </c>
      <c r="R125" t="n">
        <v>0.02234</v>
      </c>
      <c r="S125">
        <f>IMAGE("https://mitra.stanford.edu/kundaje/oak/projects/neuro-variants/variant_position/credible/roussos_2024/variant_figures/roussos_2024.adolescence.Astrocyte/rs61773608_count_position.png",4,220,900)</f>
        <v/>
      </c>
      <c r="T125">
        <f>IMAGE("https://mitra.stanford.edu/kundaje/oak/projects/neuro-variants/variant_position/credible/roussos_2024/variant_figures/roussos_2024.adolescence.Astrocyte/rs61773608_profile_position.png",4,220,900)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-0.0255842521</v>
      </c>
      <c r="G126" t="n">
        <v>0.4863247806255105</v>
      </c>
      <c r="H126" t="n">
        <v>0.043530425238702</v>
      </c>
      <c r="I126" t="n">
        <v>0.0072484196647225</v>
      </c>
      <c r="J126" t="n">
        <v>0.0005815506038037</v>
      </c>
      <c r="K126" t="n">
        <v>0.928704805412062</v>
      </c>
      <c r="L126" t="b">
        <v>0</v>
      </c>
      <c r="M126" t="b">
        <v>0</v>
      </c>
      <c r="N126" t="inlineStr">
        <is>
          <t>ref</t>
        </is>
      </c>
      <c r="O126" t="n">
        <v>-65</v>
      </c>
      <c r="P126" t="n">
        <v>0.01001</v>
      </c>
      <c r="Q126" t="n">
        <v>100</v>
      </c>
      <c r="R126" t="n">
        <v>0.1147</v>
      </c>
      <c r="S126">
        <f>IMAGE("https://mitra.stanford.edu/kundaje/oak/projects/neuro-variants/variant_position/credible/roussos_2024/variant_figures/roussos_2024.adolescence.Astrocyte/rs4233100_count_position.png",4,220,900)</f>
        <v/>
      </c>
      <c r="T126">
        <f>IMAGE("https://mitra.stanford.edu/kundaje/oak/projects/neuro-variants/variant_position/credible/roussos_2024/variant_figures/roussos_2024.adolescence.Astrocyte/rs4233100_profile_position.png",4,220,900)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0.0032725854</v>
      </c>
      <c r="G127" t="n">
        <v>0.5315584968364084</v>
      </c>
      <c r="H127" t="n">
        <v>0.0110050538826905</v>
      </c>
      <c r="I127" t="n">
        <v>0.6586795562876704</v>
      </c>
      <c r="J127" t="n">
        <v>0.0178567189864403</v>
      </c>
      <c r="K127" t="n">
        <v>0.6109278622936208</v>
      </c>
      <c r="L127" t="b">
        <v>0</v>
      </c>
      <c r="M127" t="b">
        <v>0</v>
      </c>
      <c r="N127" t="inlineStr">
        <is>
          <t>alt</t>
        </is>
      </c>
      <c r="O127" t="n">
        <v>100</v>
      </c>
      <c r="P127" t="n">
        <v>0.02237</v>
      </c>
      <c r="Q127" t="n">
        <v>-65</v>
      </c>
      <c r="R127" t="n">
        <v>0.251</v>
      </c>
      <c r="S127">
        <f>IMAGE("https://mitra.stanford.edu/kundaje/oak/projects/neuro-variants/variant_position/credible/roussos_2024/variant_figures/roussos_2024.adolescence.Astrocyte/rs12141350_count_position.png",4,220,900)</f>
        <v/>
      </c>
      <c r="T127">
        <f>IMAGE("https://mitra.stanford.edu/kundaje/oak/projects/neuro-variants/variant_position/credible/roussos_2024/variant_figures/roussos_2024.adolescence.Astrocyte/rs12141350_profile_position.png",4,220,900)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0.0253716164</v>
      </c>
      <c r="G128" t="n">
        <v>0.4670843446814856</v>
      </c>
      <c r="H128" t="n">
        <v>0.0202549812075303</v>
      </c>
      <c r="I128" t="n">
        <v>0.1300311735056938</v>
      </c>
      <c r="J128" t="n">
        <v>0.0001379699136575</v>
      </c>
      <c r="K128" t="n">
        <v>0.9757730133419544</v>
      </c>
      <c r="L128" t="b">
        <v>0</v>
      </c>
      <c r="M128" t="b">
        <v>0</v>
      </c>
      <c r="N128" t="inlineStr">
        <is>
          <t>alt</t>
        </is>
      </c>
      <c r="O128" t="n">
        <v>-20</v>
      </c>
      <c r="P128" t="n">
        <v>0.00461</v>
      </c>
      <c r="Q128" t="n">
        <v>-95</v>
      </c>
      <c r="R128" t="n">
        <v>0.0274</v>
      </c>
      <c r="S128">
        <f>IMAGE("https://mitra.stanford.edu/kundaje/oak/projects/neuro-variants/variant_position/credible/roussos_2024/variant_figures/roussos_2024.adolescence.Astrocyte/rs11210125_count_position.png",4,220,900)</f>
        <v/>
      </c>
      <c r="T128">
        <f>IMAGE("https://mitra.stanford.edu/kundaje/oak/projects/neuro-variants/variant_position/credible/roussos_2024/variant_figures/roussos_2024.adolescence.Astrocyte/rs11210125_profile_position.png",4,220,900)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-0.053701009</v>
      </c>
      <c r="G129" t="n">
        <v>0.2383257517700378</v>
      </c>
      <c r="H129" t="n">
        <v>0.0100731122639303</v>
      </c>
      <c r="I129" t="n">
        <v>0.7351125919460807</v>
      </c>
      <c r="J129" t="n">
        <v>0.0300588968341096</v>
      </c>
      <c r="K129" t="n">
        <v>0.5151333431279592</v>
      </c>
      <c r="L129" t="b">
        <v>0</v>
      </c>
      <c r="M129" t="b">
        <v>0</v>
      </c>
      <c r="N129" t="inlineStr">
        <is>
          <t>ref</t>
        </is>
      </c>
      <c r="O129" t="n">
        <v>-90</v>
      </c>
      <c r="P129" t="n">
        <v>0.02817</v>
      </c>
      <c r="Q129" t="n">
        <v>-40</v>
      </c>
      <c r="R129" t="n">
        <v>0.04395</v>
      </c>
      <c r="S129">
        <f>IMAGE("https://mitra.stanford.edu/kundaje/oak/projects/neuro-variants/variant_position/credible/roussos_2024/variant_figures/roussos_2024.adolescence.Astrocyte/rs4428835_count_position.png",4,220,900)</f>
        <v/>
      </c>
      <c r="T129">
        <f>IMAGE("https://mitra.stanford.edu/kundaje/oak/projects/neuro-variants/variant_position/credible/roussos_2024/variant_figures/roussos_2024.adolescence.Astrocyte/rs4428835_profile_position.png",4,220,900)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0.0063400467399999</v>
      </c>
      <c r="G130" t="n">
        <v>0.7856656590967274</v>
      </c>
      <c r="H130" t="n">
        <v>0.0393309071449763</v>
      </c>
      <c r="I130" t="n">
        <v>0.0102481361233349</v>
      </c>
      <c r="J130" t="n">
        <v>5.266593478325372e-05</v>
      </c>
      <c r="K130" t="n">
        <v>0.9933230867439384</v>
      </c>
      <c r="L130" t="b">
        <v>0</v>
      </c>
      <c r="M130" t="b">
        <v>0</v>
      </c>
      <c r="N130" t="inlineStr">
        <is>
          <t>alt</t>
        </is>
      </c>
      <c r="O130" t="n">
        <v>75</v>
      </c>
      <c r="P130" t="n">
        <v>0.00506</v>
      </c>
      <c r="Q130" t="n">
        <v>-50</v>
      </c>
      <c r="R130" t="n">
        <v>0.0227</v>
      </c>
      <c r="S130">
        <f>IMAGE("https://mitra.stanford.edu/kundaje/oak/projects/neuro-variants/variant_position/credible/roussos_2024/variant_figures/roussos_2024.adolescence.Astrocyte/rs7547148_count_position.png",4,220,900)</f>
        <v/>
      </c>
      <c r="T130">
        <f>IMAGE("https://mitra.stanford.edu/kundaje/oak/projects/neuro-variants/variant_position/credible/roussos_2024/variant_figures/roussos_2024.adolescence.Astrocyte/rs7547148_profile_position.png",4,220,900)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-0.0053078706019999</v>
      </c>
      <c r="G131" t="n">
        <v>0.7666373094730804</v>
      </c>
      <c r="H131" t="n">
        <v>0.0330907931996609</v>
      </c>
      <c r="I131" t="n">
        <v>0.0212664564663223</v>
      </c>
      <c r="J131" t="n">
        <v>5.563302970062013e-05</v>
      </c>
      <c r="K131" t="n">
        <v>0.9913138613122028</v>
      </c>
      <c r="L131" t="b">
        <v>0</v>
      </c>
      <c r="M131" t="b">
        <v>0</v>
      </c>
      <c r="N131" t="inlineStr">
        <is>
          <t>ref</t>
        </is>
      </c>
      <c r="O131" t="n">
        <v>100</v>
      </c>
      <c r="P131" t="n">
        <v>0.006073</v>
      </c>
      <c r="Q131" t="n">
        <v>0</v>
      </c>
      <c r="R131" t="n">
        <v>0</v>
      </c>
      <c r="S131">
        <f>IMAGE("https://mitra.stanford.edu/kundaje/oak/projects/neuro-variants/variant_position/credible/roussos_2024/variant_figures/roussos_2024.adolescence.Astrocyte/rs12118367_count_position.png",4,220,900)</f>
        <v/>
      </c>
      <c r="T131">
        <f>IMAGE("https://mitra.stanford.edu/kundaje/oak/projects/neuro-variants/variant_position/credible/roussos_2024/variant_figures/roussos_2024.adolescence.Astrocyte/rs12118367_profile_position.png",4,220,900)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0.0020357188999999</v>
      </c>
      <c r="G132" t="n">
        <v>0.8763525219072352</v>
      </c>
      <c r="H132" t="n">
        <v>0.0325322621817037</v>
      </c>
      <c r="I132" t="n">
        <v>0.0226606254510267</v>
      </c>
      <c r="J132" t="n">
        <v>0.0001364863661988</v>
      </c>
      <c r="K132" t="n">
        <v>0.9683611072916952</v>
      </c>
      <c r="L132" t="b">
        <v>0</v>
      </c>
      <c r="M132" t="b">
        <v>0</v>
      </c>
      <c r="N132" t="inlineStr">
        <is>
          <t>alt</t>
        </is>
      </c>
      <c r="O132" t="n">
        <v>-100</v>
      </c>
      <c r="P132" t="n">
        <v>0.007042</v>
      </c>
      <c r="Q132" t="n">
        <v>-100</v>
      </c>
      <c r="R132" t="n">
        <v>0.10864</v>
      </c>
      <c r="S132">
        <f>IMAGE("https://mitra.stanford.edu/kundaje/oak/projects/neuro-variants/variant_position/credible/roussos_2024/variant_figures/roussos_2024.adolescence.Astrocyte/rs12137150_count_position.png",4,220,900)</f>
        <v/>
      </c>
      <c r="T132">
        <f>IMAGE("https://mitra.stanford.edu/kundaje/oak/projects/neuro-variants/variant_position/credible/roussos_2024/variant_figures/roussos_2024.adolescence.Astrocyte/rs12137150_profile_position.png",4,220,900)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-0.0337725912</v>
      </c>
      <c r="G133" t="n">
        <v>0.3681026402286032</v>
      </c>
      <c r="H133" t="n">
        <v>0.0100640190511983</v>
      </c>
      <c r="I133" t="n">
        <v>0.7525363687805787</v>
      </c>
      <c r="J133" t="n">
        <v>0.000491054208824</v>
      </c>
      <c r="K133" t="n">
        <v>0.9210303451317692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0.03778</v>
      </c>
      <c r="Q133" t="n">
        <v>-25</v>
      </c>
      <c r="R133" t="n">
        <v>0.08777</v>
      </c>
      <c r="S133">
        <f>IMAGE("https://mitra.stanford.edu/kundaje/oak/projects/neuro-variants/variant_position/credible/roussos_2024/variant_figures/roussos_2024.adolescence.Astrocyte/rs4391625_count_position.png",4,220,900)</f>
        <v/>
      </c>
      <c r="T133">
        <f>IMAGE("https://mitra.stanford.edu/kundaje/oak/projects/neuro-variants/variant_position/credible/roussos_2024/variant_figures/roussos_2024.adolescence.Astrocyte/rs4391625_profile_position.png",4,220,900)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-0.054578441</v>
      </c>
      <c r="G134" t="n">
        <v>0.2229597469452779</v>
      </c>
      <c r="H134" t="n">
        <v>0.0140945166516614</v>
      </c>
      <c r="I134" t="n">
        <v>0.3867954787718337</v>
      </c>
      <c r="J134" t="n">
        <v>0.0005155327418923</v>
      </c>
      <c r="K134" t="n">
        <v>0.9279082536424668</v>
      </c>
      <c r="L134" t="b">
        <v>0</v>
      </c>
      <c r="M134" t="b">
        <v>0</v>
      </c>
      <c r="N134" t="inlineStr">
        <is>
          <t>ref</t>
        </is>
      </c>
      <c r="O134" t="n">
        <v>-65</v>
      </c>
      <c r="P134" t="n">
        <v>0.00957</v>
      </c>
      <c r="Q134" t="n">
        <v>-45</v>
      </c>
      <c r="R134" t="n">
        <v>0.06088</v>
      </c>
      <c r="S134">
        <f>IMAGE("https://mitra.stanford.edu/kundaje/oak/projects/neuro-variants/variant_position/credible/roussos_2024/variant_figures/roussos_2024.adolescence.Astrocyte/rs57852356_count_position.png",4,220,900)</f>
        <v/>
      </c>
      <c r="T134">
        <f>IMAGE("https://mitra.stanford.edu/kundaje/oak/projects/neuro-variants/variant_position/credible/roussos_2024/variant_figures/roussos_2024.adolescence.Astrocyte/rs57852356_profile_position.png",4,220,900)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-0.0404315081999999</v>
      </c>
      <c r="G135" t="n">
        <v>0.3060197602195973</v>
      </c>
      <c r="H135" t="n">
        <v>0.0157767783526664</v>
      </c>
      <c r="I135" t="n">
        <v>0.2821347507101804</v>
      </c>
      <c r="J135" t="n">
        <v>0.0019990802005755</v>
      </c>
      <c r="K135" t="n">
        <v>0.8218884748401136</v>
      </c>
      <c r="L135" t="b">
        <v>0</v>
      </c>
      <c r="M135" t="b">
        <v>0</v>
      </c>
      <c r="N135" t="inlineStr">
        <is>
          <t>ref</t>
        </is>
      </c>
      <c r="O135" t="n">
        <v>-30</v>
      </c>
      <c r="P135" t="n">
        <v>0.002136</v>
      </c>
      <c r="Q135" t="n">
        <v>90</v>
      </c>
      <c r="R135" t="n">
        <v>0.0764</v>
      </c>
      <c r="S135">
        <f>IMAGE("https://mitra.stanford.edu/kundaje/oak/projects/neuro-variants/variant_position/credible/roussos_2024/variant_figures/roussos_2024.adolescence.Astrocyte/rs6424521_count_position.png",4,220,900)</f>
        <v/>
      </c>
      <c r="T135">
        <f>IMAGE("https://mitra.stanford.edu/kundaje/oak/projects/neuro-variants/variant_position/credible/roussos_2024/variant_figures/roussos_2024.adolescence.Astrocyte/rs6424521_profile_position.png",4,220,900)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0.09134479919999999</v>
      </c>
      <c r="G136" t="n">
        <v>0.0914992741859325</v>
      </c>
      <c r="H136" t="n">
        <v>0.0122749941023482</v>
      </c>
      <c r="I136" t="n">
        <v>0.5242621030078592</v>
      </c>
      <c r="J136" t="n">
        <v>0.0182357653621338</v>
      </c>
      <c r="K136" t="n">
        <v>0.6052174731221922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0.05182</v>
      </c>
      <c r="Q136" t="n">
        <v>100</v>
      </c>
      <c r="R136" t="n">
        <v>0.09216000000000001</v>
      </c>
      <c r="S136">
        <f>IMAGE("https://mitra.stanford.edu/kundaje/oak/projects/neuro-variants/variant_position/credible/roussos_2024/variant_figures/roussos_2024.adolescence.Astrocyte/rs4454488_count_position.png",4,220,900)</f>
        <v/>
      </c>
      <c r="T136">
        <f>IMAGE("https://mitra.stanford.edu/kundaje/oak/projects/neuro-variants/variant_position/credible/roussos_2024/variant_figures/roussos_2024.adolescence.Astrocyte/rs4454488_profile_position.png",4,220,900)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0.02378425314</v>
      </c>
      <c r="G137" t="n">
        <v>0.4683266604586005</v>
      </c>
      <c r="H137" t="n">
        <v>0.016790026127578</v>
      </c>
      <c r="I137" t="n">
        <v>0.236717169498912</v>
      </c>
      <c r="J137" t="n">
        <v>0.01340681838412</v>
      </c>
      <c r="K137" t="n">
        <v>0.6651701167829125</v>
      </c>
      <c r="L137" t="b">
        <v>0</v>
      </c>
      <c r="M137" t="b">
        <v>0</v>
      </c>
      <c r="N137" t="inlineStr">
        <is>
          <t>alt</t>
        </is>
      </c>
      <c r="O137" t="n">
        <v>-15</v>
      </c>
      <c r="P137" t="n">
        <v>0.00769</v>
      </c>
      <c r="Q137" t="n">
        <v>-15</v>
      </c>
      <c r="R137" t="n">
        <v>0.07263</v>
      </c>
      <c r="S137">
        <f>IMAGE("https://mitra.stanford.edu/kundaje/oak/projects/neuro-variants/variant_position/credible/roussos_2024/variant_figures/roussos_2024.adolescence.Astrocyte/rs4369180_count_position.png",4,220,900)</f>
        <v/>
      </c>
      <c r="T137">
        <f>IMAGE("https://mitra.stanford.edu/kundaje/oak/projects/neuro-variants/variant_position/credible/roussos_2024/variant_figures/roussos_2024.adolescence.Astrocyte/rs4369180_profile_position.png",4,220,900)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-0.0250664635999999</v>
      </c>
      <c r="G138" t="n">
        <v>0.4753459759213256</v>
      </c>
      <c r="H138" t="n">
        <v>0.0272719069694352</v>
      </c>
      <c r="I138" t="n">
        <v>0.045314306920096</v>
      </c>
      <c r="J138" t="n">
        <v>0.009298133697296899</v>
      </c>
      <c r="K138" t="n">
        <v>0.7257356613214501</v>
      </c>
      <c r="L138" t="b">
        <v>0</v>
      </c>
      <c r="M138" t="b">
        <v>0</v>
      </c>
      <c r="N138" t="inlineStr">
        <is>
          <t>ref</t>
        </is>
      </c>
      <c r="O138" t="n">
        <v>-100</v>
      </c>
      <c r="P138" t="n">
        <v>0.0116</v>
      </c>
      <c r="Q138" t="n">
        <v>-100</v>
      </c>
      <c r="R138" t="n">
        <v>0.1198</v>
      </c>
      <c r="S138">
        <f>IMAGE("https://mitra.stanford.edu/kundaje/oak/projects/neuro-variants/variant_position/credible/roussos_2024/variant_figures/roussos_2024.adolescence.Astrocyte/rs4633241_count_position.png",4,220,900)</f>
        <v/>
      </c>
      <c r="T138">
        <f>IMAGE("https://mitra.stanford.edu/kundaje/oak/projects/neuro-variants/variant_position/credible/roussos_2024/variant_figures/roussos_2024.adolescence.Astrocyte/rs4633241_profile_position.png",4,220,900)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-0.1340137368</v>
      </c>
      <c r="G139" t="n">
        <v>0.0545234944777106</v>
      </c>
      <c r="H139" t="n">
        <v>0.0227332100904527</v>
      </c>
      <c r="I139" t="n">
        <v>0.0927151521058189</v>
      </c>
      <c r="J139" t="n">
        <v>0.0002603625789988</v>
      </c>
      <c r="K139" t="n">
        <v>0.9714210736592754</v>
      </c>
      <c r="L139" t="b">
        <v>0</v>
      </c>
      <c r="M139" t="b">
        <v>0</v>
      </c>
      <c r="N139" t="inlineStr">
        <is>
          <t>ref</t>
        </is>
      </c>
      <c r="O139" t="n">
        <v>20</v>
      </c>
      <c r="P139" t="n">
        <v>0.0007477</v>
      </c>
      <c r="Q139" t="n">
        <v>-100</v>
      </c>
      <c r="R139" t="n">
        <v>0.2108</v>
      </c>
      <c r="S139">
        <f>IMAGE("https://mitra.stanford.edu/kundaje/oak/projects/neuro-variants/variant_position/credible/roussos_2024/variant_figures/roussos_2024.adolescence.Astrocyte/rs10399828_count_position.png",4,220,900)</f>
        <v/>
      </c>
      <c r="T139">
        <f>IMAGE("https://mitra.stanford.edu/kundaje/oak/projects/neuro-variants/variant_position/credible/roussos_2024/variant_figures/roussos_2024.adolescence.Astrocyte/rs10399828_profile_position.png",4,220,900)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-0.002635797282</v>
      </c>
      <c r="G140" t="n">
        <v>0.8775164971552289</v>
      </c>
      <c r="H140" t="n">
        <v>0.0269846680342469</v>
      </c>
      <c r="I140" t="n">
        <v>0.0477229873961825</v>
      </c>
      <c r="J140" t="n">
        <v>0.0062027119247544</v>
      </c>
      <c r="K140" t="n">
        <v>0.717900617582467</v>
      </c>
      <c r="L140" t="b">
        <v>0</v>
      </c>
      <c r="M140" t="b">
        <v>0</v>
      </c>
      <c r="N140" t="inlineStr">
        <is>
          <t>ref</t>
        </is>
      </c>
      <c r="O140" t="n">
        <v>85</v>
      </c>
      <c r="P140" t="n">
        <v>0.007156</v>
      </c>
      <c r="Q140" t="n">
        <v>-100</v>
      </c>
      <c r="R140" t="n">
        <v>0.05182</v>
      </c>
      <c r="S140">
        <f>IMAGE("https://mitra.stanford.edu/kundaje/oak/projects/neuro-variants/variant_position/credible/roussos_2024/variant_figures/roussos_2024.adolescence.Astrocyte/rs7528640_count_position.png",4,220,900)</f>
        <v/>
      </c>
      <c r="T140">
        <f>IMAGE("https://mitra.stanford.edu/kundaje/oak/projects/neuro-variants/variant_position/credible/roussos_2024/variant_figures/roussos_2024.adolescence.Astrocyte/rs7528640_profile_position.png",4,220,900)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0.0122712952999999</v>
      </c>
      <c r="G141" t="n">
        <v>0.693448541247571</v>
      </c>
      <c r="H141" t="n">
        <v>0.0192447345610704</v>
      </c>
      <c r="I141" t="n">
        <v>0.1550158927110752</v>
      </c>
      <c r="J141" t="n">
        <v>0.0009190576506541</v>
      </c>
      <c r="K141" t="n">
        <v>0.8834228520312567</v>
      </c>
      <c r="L141" t="b">
        <v>0</v>
      </c>
      <c r="M141" t="b">
        <v>0</v>
      </c>
      <c r="N141" t="inlineStr">
        <is>
          <t>alt</t>
        </is>
      </c>
      <c r="O141" t="n">
        <v>100</v>
      </c>
      <c r="P141" t="n">
        <v>0.01093</v>
      </c>
      <c r="Q141" t="n">
        <v>-5</v>
      </c>
      <c r="R141" t="n">
        <v>0.011566</v>
      </c>
      <c r="S141">
        <f>IMAGE("https://mitra.stanford.edu/kundaje/oak/projects/neuro-variants/variant_position/credible/roussos_2024/variant_figures/roussos_2024.adolescence.Astrocyte/rs11210151_count_position.png",4,220,900)</f>
        <v/>
      </c>
      <c r="T141">
        <f>IMAGE("https://mitra.stanford.edu/kundaje/oak/projects/neuro-variants/variant_position/credible/roussos_2024/variant_figures/roussos_2024.adolescence.Astrocyte/rs11210151_profile_position.png",4,220,900)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0.02861792042</v>
      </c>
      <c r="G142" t="n">
        <v>0.3985817870164224</v>
      </c>
      <c r="H142" t="n">
        <v>0.016777477214162</v>
      </c>
      <c r="I142" t="n">
        <v>0.2368399884441482</v>
      </c>
      <c r="J142" t="n">
        <v>0.0621880841468118</v>
      </c>
      <c r="K142" t="n">
        <v>0.412376226579361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0.01619</v>
      </c>
      <c r="Q142" t="n">
        <v>-95</v>
      </c>
      <c r="R142" t="n">
        <v>0.07666000000000001</v>
      </c>
      <c r="S142">
        <f>IMAGE("https://mitra.stanford.edu/kundaje/oak/projects/neuro-variants/variant_position/credible/roussos_2024/variant_figures/roussos_2024.adolescence.Astrocyte/rs11210155_count_position.png",4,220,900)</f>
        <v/>
      </c>
      <c r="T142">
        <f>IMAGE("https://mitra.stanford.edu/kundaje/oak/projects/neuro-variants/variant_position/credible/roussos_2024/variant_figures/roussos_2024.adolescence.Astrocyte/rs11210155_profile_position.png",4,220,900)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0.0465305298</v>
      </c>
      <c r="G143" t="n">
        <v>0.2677378785906162</v>
      </c>
      <c r="H143" t="n">
        <v>0.01075777061528</v>
      </c>
      <c r="I143" t="n">
        <v>0.6670936519476491</v>
      </c>
      <c r="J143" t="n">
        <v>0.0553533810046582</v>
      </c>
      <c r="K143" t="n">
        <v>0.4242212819807151</v>
      </c>
      <c r="L143" t="b">
        <v>0</v>
      </c>
      <c r="M143" t="b">
        <v>0</v>
      </c>
      <c r="N143" t="inlineStr">
        <is>
          <t>alt</t>
        </is>
      </c>
      <c r="O143" t="n">
        <v>-85</v>
      </c>
      <c r="P143" t="n">
        <v>0.02603</v>
      </c>
      <c r="Q143" t="n">
        <v>-100</v>
      </c>
      <c r="R143" t="n">
        <v>0.10626</v>
      </c>
      <c r="S143">
        <f>IMAGE("https://mitra.stanford.edu/kundaje/oak/projects/neuro-variants/variant_position/credible/roussos_2024/variant_figures/roussos_2024.adolescence.Astrocyte/rs11210158_count_position.png",4,220,900)</f>
        <v/>
      </c>
      <c r="T143">
        <f>IMAGE("https://mitra.stanford.edu/kundaje/oak/projects/neuro-variants/variant_position/credible/roussos_2024/variant_figures/roussos_2024.adolescence.Astrocyte/rs11210158_profile_position.png",4,220,900)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0.0598741262</v>
      </c>
      <c r="G144" t="n">
        <v>0.1954512962828498</v>
      </c>
      <c r="H144" t="n">
        <v>0.0157700941894537</v>
      </c>
      <c r="I144" t="n">
        <v>0.2859571656582496</v>
      </c>
      <c r="J144" t="n">
        <v>0.0570127288371954</v>
      </c>
      <c r="K144" t="n">
        <v>0.4193187243329279</v>
      </c>
      <c r="L144" t="b">
        <v>0</v>
      </c>
      <c r="M144" t="b">
        <v>0</v>
      </c>
      <c r="N144" t="inlineStr">
        <is>
          <t>alt</t>
        </is>
      </c>
      <c r="O144" t="n">
        <v>-85</v>
      </c>
      <c r="P144" t="n">
        <v>0.02702</v>
      </c>
      <c r="Q144" t="n">
        <v>-100</v>
      </c>
      <c r="R144" t="n">
        <v>0.09863</v>
      </c>
      <c r="S144">
        <f>IMAGE("https://mitra.stanford.edu/kundaje/oak/projects/neuro-variants/variant_position/credible/roussos_2024/variant_figures/roussos_2024.adolescence.Astrocyte/rs11210159_count_position.png",4,220,900)</f>
        <v/>
      </c>
      <c r="T144">
        <f>IMAGE("https://mitra.stanford.edu/kundaje/oak/projects/neuro-variants/variant_position/credible/roussos_2024/variant_figures/roussos_2024.adolescence.Astrocyte/rs11210159_profile_position.png",4,220,900)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-0.00179992186</v>
      </c>
      <c r="G145" t="n">
        <v>0.8548880923891532</v>
      </c>
      <c r="H145" t="n">
        <v>0.0128526652630174</v>
      </c>
      <c r="I145" t="n">
        <v>0.4773963436001681</v>
      </c>
      <c r="J145" t="n">
        <v>0.0013233243331453</v>
      </c>
      <c r="K145" t="n">
        <v>0.8581509934867755</v>
      </c>
      <c r="L145" t="b">
        <v>0</v>
      </c>
      <c r="M145" t="b">
        <v>0</v>
      </c>
      <c r="N145" t="inlineStr">
        <is>
          <t>ref</t>
        </is>
      </c>
      <c r="O145" t="n">
        <v>-75</v>
      </c>
      <c r="P145" t="n">
        <v>0.011536</v>
      </c>
      <c r="Q145" t="n">
        <v>-90</v>
      </c>
      <c r="R145" t="n">
        <v>0.2052</v>
      </c>
      <c r="S145">
        <f>IMAGE("https://mitra.stanford.edu/kundaje/oak/projects/neuro-variants/variant_position/credible/roussos_2024/variant_figures/roussos_2024.adolescence.Astrocyte/rs6666765_count_position.png",4,220,900)</f>
        <v/>
      </c>
      <c r="T145">
        <f>IMAGE("https://mitra.stanford.edu/kundaje/oak/projects/neuro-variants/variant_position/credible/roussos_2024/variant_figures/roussos_2024.adolescence.Astrocyte/rs6666765_profile_position.png",4,220,900)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-0.0949178316</v>
      </c>
      <c r="G146" t="n">
        <v>0.1032143396513612</v>
      </c>
      <c r="H146" t="n">
        <v>0.0301357637461516</v>
      </c>
      <c r="I146" t="n">
        <v>0.0320093441764262</v>
      </c>
      <c r="J146" t="n">
        <v>0.0129142806278372</v>
      </c>
      <c r="K146" t="n">
        <v>0.6252043087854146</v>
      </c>
      <c r="L146" t="b">
        <v>0</v>
      </c>
      <c r="M146" t="b">
        <v>0</v>
      </c>
      <c r="N146" t="inlineStr">
        <is>
          <t>ref</t>
        </is>
      </c>
      <c r="O146" t="n">
        <v>35</v>
      </c>
      <c r="P146" t="n">
        <v>0.02747</v>
      </c>
      <c r="Q146" t="n">
        <v>-40</v>
      </c>
      <c r="R146" t="n">
        <v>0.0398</v>
      </c>
      <c r="S146">
        <f>IMAGE("https://mitra.stanford.edu/kundaje/oak/projects/neuro-variants/variant_position/credible/roussos_2024/variant_figures/roussos_2024.adolescence.Astrocyte/rs11210163_count_position.png",4,220,900)</f>
        <v/>
      </c>
      <c r="T146">
        <f>IMAGE("https://mitra.stanford.edu/kundaje/oak/projects/neuro-variants/variant_position/credible/roussos_2024/variant_figures/roussos_2024.adolescence.Astrocyte/rs11210163_profile_position.png",4,220,900)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-0.0414714265999999</v>
      </c>
      <c r="G147" t="n">
        <v>0.1947919141729312</v>
      </c>
      <c r="H147" t="n">
        <v>0.0115038620914577</v>
      </c>
      <c r="I147" t="n">
        <v>0.5987305840504829</v>
      </c>
      <c r="J147" t="n">
        <v>0.0012328279381657</v>
      </c>
      <c r="K147" t="n">
        <v>0.8644985860780242</v>
      </c>
      <c r="L147" t="b">
        <v>0</v>
      </c>
      <c r="M147" t="b">
        <v>0</v>
      </c>
      <c r="N147" t="inlineStr">
        <is>
          <t>ref</t>
        </is>
      </c>
      <c r="O147" t="n">
        <v>30</v>
      </c>
      <c r="P147" t="n">
        <v>0.003075</v>
      </c>
      <c r="Q147" t="n">
        <v>-70</v>
      </c>
      <c r="R147" t="n">
        <v>0.0848</v>
      </c>
      <c r="S147">
        <f>IMAGE("https://mitra.stanford.edu/kundaje/oak/projects/neuro-variants/variant_position/credible/roussos_2024/variant_figures/roussos_2024.adolescence.Astrocyte/rs4492565_count_position.png",4,220,900)</f>
        <v/>
      </c>
      <c r="T147">
        <f>IMAGE("https://mitra.stanford.edu/kundaje/oak/projects/neuro-variants/variant_position/credible/roussos_2024/variant_figures/roussos_2024.adolescence.Astrocyte/rs4492565_profile_position.png",4,220,900)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0.0406261878</v>
      </c>
      <c r="G148" t="n">
        <v>0.2949762911649881</v>
      </c>
      <c r="H148" t="n">
        <v>0.0219712962598264</v>
      </c>
      <c r="I148" t="n">
        <v>0.0998964255785959</v>
      </c>
      <c r="J148" t="n">
        <v>0.0067783283387235</v>
      </c>
      <c r="K148" t="n">
        <v>0.7063142185345391</v>
      </c>
      <c r="L148" t="b">
        <v>0</v>
      </c>
      <c r="M148" t="b">
        <v>0</v>
      </c>
      <c r="N148" t="inlineStr">
        <is>
          <t>alt</t>
        </is>
      </c>
      <c r="O148" t="n">
        <v>55</v>
      </c>
      <c r="P148" t="n">
        <v>0.004753</v>
      </c>
      <c r="Q148" t="n">
        <v>-100</v>
      </c>
      <c r="R148" t="n">
        <v>0.1279</v>
      </c>
      <c r="S148">
        <f>IMAGE("https://mitra.stanford.edu/kundaje/oak/projects/neuro-variants/variant_position/credible/roussos_2024/variant_figures/roussos_2024.adolescence.Astrocyte/rs4650196_count_position.png",4,220,900)</f>
        <v/>
      </c>
      <c r="T148">
        <f>IMAGE("https://mitra.stanford.edu/kundaje/oak/projects/neuro-variants/variant_position/credible/roussos_2024/variant_figures/roussos_2024.adolescence.Astrocyte/rs4650196_profile_position.png",4,220,900)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0.1779998119999999</v>
      </c>
      <c r="G149" t="n">
        <v>0.0232528309115103</v>
      </c>
      <c r="H149" t="n">
        <v>0.0278706511941251</v>
      </c>
      <c r="I149" t="n">
        <v>0.042281723048156</v>
      </c>
      <c r="J149" t="n">
        <v>0.0137584191318279</v>
      </c>
      <c r="K149" t="n">
        <v>0.6428601854063634</v>
      </c>
      <c r="L149" t="b">
        <v>0</v>
      </c>
      <c r="M149" t="b">
        <v>0</v>
      </c>
      <c r="N149" t="inlineStr">
        <is>
          <t>alt</t>
        </is>
      </c>
      <c r="O149" t="n">
        <v>75</v>
      </c>
      <c r="P149" t="n">
        <v>0.00333</v>
      </c>
      <c r="Q149" t="n">
        <v>50</v>
      </c>
      <c r="R149" t="n">
        <v>0.0658</v>
      </c>
      <c r="S149">
        <f>IMAGE("https://mitra.stanford.edu/kundaje/oak/projects/neuro-variants/variant_position/credible/roussos_2024/variant_figures/roussos_2024.adolescence.Astrocyte/rs6695455_count_position.png",4,220,900)</f>
        <v/>
      </c>
      <c r="T149">
        <f>IMAGE("https://mitra.stanford.edu/kundaje/oak/projects/neuro-variants/variant_position/credible/roussos_2024/variant_figures/roussos_2024.adolescence.Astrocyte/rs6695455_profile_position.png",4,220,900)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-0.0042605337599999</v>
      </c>
      <c r="G150" t="n">
        <v>0.6120562683566927</v>
      </c>
      <c r="H150" t="n">
        <v>0.0140615435965939</v>
      </c>
      <c r="I150" t="n">
        <v>0.3842665559931614</v>
      </c>
      <c r="J150" t="n">
        <v>0.0200071210278016</v>
      </c>
      <c r="K150" t="n">
        <v>0.6056165945255052</v>
      </c>
      <c r="L150" t="b">
        <v>0</v>
      </c>
      <c r="M150" t="b">
        <v>0</v>
      </c>
      <c r="N150" t="inlineStr">
        <is>
          <t>ref</t>
        </is>
      </c>
      <c r="O150" t="n">
        <v>20</v>
      </c>
      <c r="P150" t="n">
        <v>0.01245</v>
      </c>
      <c r="Q150" t="n">
        <v>-55</v>
      </c>
      <c r="R150" t="n">
        <v>0.03027</v>
      </c>
      <c r="S150">
        <f>IMAGE("https://mitra.stanford.edu/kundaje/oak/projects/neuro-variants/variant_position/credible/roussos_2024/variant_figures/roussos_2024.adolescence.Astrocyte/rs6698500_count_position.png",4,220,900)</f>
        <v/>
      </c>
      <c r="T150">
        <f>IMAGE("https://mitra.stanford.edu/kundaje/oak/projects/neuro-variants/variant_position/credible/roussos_2024/variant_figures/roussos_2024.adolescence.Astrocyte/rs6698500_profile_position.png",4,220,900)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0.175010334</v>
      </c>
      <c r="G151" t="n">
        <v>0.0245476824194674</v>
      </c>
      <c r="H151" t="n">
        <v>0.0158318999836484</v>
      </c>
      <c r="I151" t="n">
        <v>0.2823502724924574</v>
      </c>
      <c r="J151" t="n">
        <v>0.0014946740646232</v>
      </c>
      <c r="K151" t="n">
        <v>0.8430597274229878</v>
      </c>
      <c r="L151" t="b">
        <v>0</v>
      </c>
      <c r="M151" t="b">
        <v>0</v>
      </c>
      <c r="N151" t="inlineStr">
        <is>
          <t>alt</t>
        </is>
      </c>
      <c r="O151" t="n">
        <v>-30</v>
      </c>
      <c r="P151" t="n">
        <v>0.004997</v>
      </c>
      <c r="Q151" t="n">
        <v>-20</v>
      </c>
      <c r="R151" t="n">
        <v>0.0326</v>
      </c>
      <c r="S151">
        <f>IMAGE("https://mitra.stanford.edu/kundaje/oak/projects/neuro-variants/variant_position/credible/roussos_2024/variant_figures/roussos_2024.adolescence.Astrocyte/rs12124553_count_position.png",4,220,900)</f>
        <v/>
      </c>
      <c r="T151">
        <f>IMAGE("https://mitra.stanford.edu/kundaje/oak/projects/neuro-variants/variant_position/credible/roussos_2024/variant_figures/roussos_2024.adolescence.Astrocyte/rs12124553_profile_position.png",4,220,900)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0.022391971</v>
      </c>
      <c r="G152" t="n">
        <v>0.3427593488652053</v>
      </c>
      <c r="H152" t="n">
        <v>0.0233788727601849</v>
      </c>
      <c r="I152" t="n">
        <v>0.0799768837199291</v>
      </c>
      <c r="J152" t="n">
        <v>0.0006431178233391</v>
      </c>
      <c r="K152" t="n">
        <v>0.9046930927388932</v>
      </c>
      <c r="L152" t="b">
        <v>0</v>
      </c>
      <c r="M152" t="b">
        <v>0</v>
      </c>
      <c r="N152" t="inlineStr">
        <is>
          <t>alt</t>
        </is>
      </c>
      <c r="O152" t="n">
        <v>-20</v>
      </c>
      <c r="P152" t="n">
        <v>0.002758</v>
      </c>
      <c r="Q152" t="n">
        <v>-100</v>
      </c>
      <c r="R152" t="n">
        <v>0.2063</v>
      </c>
      <c r="S152">
        <f>IMAGE("https://mitra.stanford.edu/kundaje/oak/projects/neuro-variants/variant_position/credible/roussos_2024/variant_figures/roussos_2024.adolescence.Astrocyte/rs12126688_count_position.png",4,220,900)</f>
        <v/>
      </c>
      <c r="T152">
        <f>IMAGE("https://mitra.stanford.edu/kundaje/oak/projects/neuro-variants/variant_position/credible/roussos_2024/variant_figures/roussos_2024.adolescence.Astrocyte/rs12126688_profile_position.png",4,220,900)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0.0045516601399999</v>
      </c>
      <c r="G153" t="n">
        <v>0.6225099546209475</v>
      </c>
      <c r="H153" t="n">
        <v>0.0279155762723059</v>
      </c>
      <c r="I153" t="n">
        <v>0.0415436190447063</v>
      </c>
      <c r="J153" t="n">
        <v>0.0400980624870189</v>
      </c>
      <c r="K153" t="n">
        <v>0.4679187605308516</v>
      </c>
      <c r="L153" t="b">
        <v>0</v>
      </c>
      <c r="M153" t="b">
        <v>0</v>
      </c>
      <c r="N153" t="inlineStr">
        <is>
          <t>alt</t>
        </is>
      </c>
      <c r="O153" t="n">
        <v>-40</v>
      </c>
      <c r="P153" t="n">
        <v>0.00612</v>
      </c>
      <c r="Q153" t="n">
        <v>15</v>
      </c>
      <c r="R153" t="n">
        <v>0.01671</v>
      </c>
      <c r="S153">
        <f>IMAGE("https://mitra.stanford.edu/kundaje/oak/projects/neuro-variants/variant_position/credible/roussos_2024/variant_figures/roussos_2024.adolescence.Astrocyte/rs4503305_count_position.png",4,220,900)</f>
        <v/>
      </c>
      <c r="T153">
        <f>IMAGE("https://mitra.stanford.edu/kundaje/oak/projects/neuro-variants/variant_position/credible/roussos_2024/variant_figures/roussos_2024.adolescence.Astrocyte/rs4503305_profile_position.png",4,220,900)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0.0371106572</v>
      </c>
      <c r="G154" t="n">
        <v>0.3416520325510299</v>
      </c>
      <c r="H154" t="n">
        <v>0.0101348260280916</v>
      </c>
      <c r="I154" t="n">
        <v>0.7486405870856836</v>
      </c>
      <c r="J154" t="n">
        <v>0.1657463727264634</v>
      </c>
      <c r="K154" t="n">
        <v>0.2386797435944538</v>
      </c>
      <c r="L154" t="b">
        <v>0</v>
      </c>
      <c r="M154" t="b">
        <v>0</v>
      </c>
      <c r="N154" t="inlineStr">
        <is>
          <t>alt</t>
        </is>
      </c>
      <c r="O154" t="n">
        <v>-100</v>
      </c>
      <c r="P154" t="n">
        <v>0.004337</v>
      </c>
      <c r="Q154" t="n">
        <v>25</v>
      </c>
      <c r="R154" t="n">
        <v>0.05103</v>
      </c>
      <c r="S154">
        <f>IMAGE("https://mitra.stanford.edu/kundaje/oak/projects/neuro-variants/variant_position/credible/roussos_2024/variant_figures/roussos_2024.adolescence.Astrocyte/rs4641264_count_position.png",4,220,900)</f>
        <v/>
      </c>
      <c r="T154">
        <f>IMAGE("https://mitra.stanford.edu/kundaje/oak/projects/neuro-variants/variant_position/credible/roussos_2024/variant_figures/roussos_2024.adolescence.Astrocyte/rs4641264_profile_position.png",4,220,900)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-0.0142574584</v>
      </c>
      <c r="G155" t="n">
        <v>0.4788676406193432</v>
      </c>
      <c r="H155" t="n">
        <v>0.0134486782316025</v>
      </c>
      <c r="I155" t="n">
        <v>0.4311003998076964</v>
      </c>
      <c r="J155" t="n">
        <v>0.1417448001661572</v>
      </c>
      <c r="K155" t="n">
        <v>0.2667349764378792</v>
      </c>
      <c r="L155" t="b">
        <v>0</v>
      </c>
      <c r="M155" t="b">
        <v>0</v>
      </c>
      <c r="N155" t="inlineStr">
        <is>
          <t>ref</t>
        </is>
      </c>
      <c r="O155" t="n">
        <v>-70</v>
      </c>
      <c r="P155" t="n">
        <v>0.001369</v>
      </c>
      <c r="Q155" t="n">
        <v>-45</v>
      </c>
      <c r="R155" t="n">
        <v>0.02979</v>
      </c>
      <c r="S155">
        <f>IMAGE("https://mitra.stanford.edu/kundaje/oak/projects/neuro-variants/variant_position/credible/roussos_2024/variant_figures/roussos_2024.adolescence.Astrocyte/rs4578169_count_position.png",4,220,900)</f>
        <v/>
      </c>
      <c r="T155">
        <f>IMAGE("https://mitra.stanford.edu/kundaje/oak/projects/neuro-variants/variant_position/credible/roussos_2024/variant_figures/roussos_2024.adolescence.Astrocyte/rs4578169_profile_position.png",4,220,900)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0.0585472376</v>
      </c>
      <c r="G156" t="n">
        <v>0.2055250691565909</v>
      </c>
      <c r="H156" t="n">
        <v>0.0131345480764955</v>
      </c>
      <c r="I156" t="n">
        <v>0.4508645634589287</v>
      </c>
      <c r="J156" t="n">
        <v>0.1378223006853988</v>
      </c>
      <c r="K156" t="n">
        <v>0.2705499870886639</v>
      </c>
      <c r="L156" t="b">
        <v>0</v>
      </c>
      <c r="M156" t="b">
        <v>0</v>
      </c>
      <c r="N156" t="inlineStr">
        <is>
          <t>alt</t>
        </is>
      </c>
      <c r="O156" t="n">
        <v>-60</v>
      </c>
      <c r="P156" t="n">
        <v>0.001694</v>
      </c>
      <c r="Q156" t="n">
        <v>-95</v>
      </c>
      <c r="R156" t="n">
        <v>0.1364</v>
      </c>
      <c r="S156">
        <f>IMAGE("https://mitra.stanford.edu/kundaje/oak/projects/neuro-variants/variant_position/credible/roussos_2024/variant_figures/roussos_2024.adolescence.Astrocyte/rs7514409_count_position.png",4,220,900)</f>
        <v/>
      </c>
      <c r="T156">
        <f>IMAGE("https://mitra.stanford.edu/kundaje/oak/projects/neuro-variants/variant_position/credible/roussos_2024/variant_figures/roussos_2024.adolescence.Astrocyte/rs7514409_profile_position.png",4,220,900)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0.371481672</v>
      </c>
      <c r="G157" t="n">
        <v>0.0034033162815015</v>
      </c>
      <c r="H157" t="n">
        <v>0.0614053033178039</v>
      </c>
      <c r="I157" t="n">
        <v>0.001914486340182</v>
      </c>
      <c r="J157" t="n">
        <v>0.0138459484318902</v>
      </c>
      <c r="K157" t="n">
        <v>0.6164516006100764</v>
      </c>
      <c r="L157" t="b">
        <v>1</v>
      </c>
      <c r="M157" t="b">
        <v>1</v>
      </c>
      <c r="N157" t="inlineStr">
        <is>
          <t>alt</t>
        </is>
      </c>
      <c r="O157" t="n">
        <v>-80</v>
      </c>
      <c r="P157" t="n">
        <v>0.0165</v>
      </c>
      <c r="Q157" t="n">
        <v>-45</v>
      </c>
      <c r="R157" t="n">
        <v>0.1259</v>
      </c>
      <c r="S157">
        <f>IMAGE("https://mitra.stanford.edu/kundaje/oak/projects/neuro-variants/variant_position/credible/roussos_2024/variant_figures/roussos_2024.adolescence.Astrocyte/rs4074990_count_position.png",4,220,900)</f>
        <v/>
      </c>
      <c r="T157">
        <f>IMAGE("https://mitra.stanford.edu/kundaje/oak/projects/neuro-variants/variant_position/credible/roussos_2024/variant_figures/roussos_2024.adolescence.Astrocyte/rs4074990_profile_position.png",4,220,900)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0.268459278</v>
      </c>
      <c r="G158" t="n">
        <v>0.008757895597841301</v>
      </c>
      <c r="H158" t="n">
        <v>0.0329214977608797</v>
      </c>
      <c r="I158" t="n">
        <v>0.0222018743574775</v>
      </c>
      <c r="J158" t="n">
        <v>0.3361814971960953</v>
      </c>
      <c r="K158" t="n">
        <v>0.1139514373415813</v>
      </c>
      <c r="L158" t="b">
        <v>1</v>
      </c>
      <c r="M158" t="b">
        <v>1</v>
      </c>
      <c r="N158" t="inlineStr">
        <is>
          <t>alt</t>
        </is>
      </c>
      <c r="O158" t="n">
        <v>-100</v>
      </c>
      <c r="P158" t="n">
        <v>0.01956</v>
      </c>
      <c r="Q158" t="n">
        <v>-100</v>
      </c>
      <c r="R158" t="n">
        <v>0.2715</v>
      </c>
      <c r="S158">
        <f>IMAGE("https://mitra.stanford.edu/kundaje/oak/projects/neuro-variants/variant_position/credible/roussos_2024/variant_figures/roussos_2024.adolescence.Astrocyte/rs6424546_count_position.png",4,220,900)</f>
        <v/>
      </c>
      <c r="T158">
        <f>IMAGE("https://mitra.stanford.edu/kundaje/oak/projects/neuro-variants/variant_position/credible/roussos_2024/variant_figures/roussos_2024.adolescence.Astrocyte/rs6424546_profile_position.png",4,220,900)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-0.0558139777999999</v>
      </c>
      <c r="G159" t="n">
        <v>0.2011533370536571</v>
      </c>
      <c r="H159" t="n">
        <v>0.0140775464638071</v>
      </c>
      <c r="I159" t="n">
        <v>0.3830495874835606</v>
      </c>
      <c r="J159" t="n">
        <v>0.0037429902382576</v>
      </c>
      <c r="K159" t="n">
        <v>0.7812760032142052</v>
      </c>
      <c r="L159" t="b">
        <v>0</v>
      </c>
      <c r="M159" t="b">
        <v>0</v>
      </c>
      <c r="N159" t="inlineStr">
        <is>
          <t>ref</t>
        </is>
      </c>
      <c r="O159" t="n">
        <v>10</v>
      </c>
      <c r="P159" t="n">
        <v>0.0008087</v>
      </c>
      <c r="Q159" t="n">
        <v>-50</v>
      </c>
      <c r="R159" t="n">
        <v>0.02747</v>
      </c>
      <c r="S159">
        <f>IMAGE("https://mitra.stanford.edu/kundaje/oak/projects/neuro-variants/variant_position/credible/roussos_2024/variant_figures/roussos_2024.adolescence.Astrocyte/rs11210207_count_position.png",4,220,900)</f>
        <v/>
      </c>
      <c r="T159">
        <f>IMAGE("https://mitra.stanford.edu/kundaje/oak/projects/neuro-variants/variant_position/credible/roussos_2024/variant_figures/roussos_2024.adolescence.Astrocyte/rs11210207_profile_position.png",4,220,900)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-0.117828508</v>
      </c>
      <c r="G160" t="n">
        <v>0.0715453474211365</v>
      </c>
      <c r="H160" t="n">
        <v>0.0296862521644279</v>
      </c>
      <c r="I160" t="n">
        <v>0.0344288721443891</v>
      </c>
      <c r="J160" t="n">
        <v>0.0029767379758478</v>
      </c>
      <c r="K160" t="n">
        <v>0.7920944649879451</v>
      </c>
      <c r="L160" t="b">
        <v>0</v>
      </c>
      <c r="M160" t="b">
        <v>0</v>
      </c>
      <c r="N160" t="inlineStr">
        <is>
          <t>ref</t>
        </is>
      </c>
      <c r="O160" t="n">
        <v>-85</v>
      </c>
      <c r="P160" t="n">
        <v>0.014145</v>
      </c>
      <c r="Q160" t="n">
        <v>-65</v>
      </c>
      <c r="R160" t="n">
        <v>0.11084</v>
      </c>
      <c r="S160">
        <f>IMAGE("https://mitra.stanford.edu/kundaje/oak/projects/neuro-variants/variant_position/credible/roussos_2024/variant_figures/roussos_2024.adolescence.Astrocyte/rs7517355_count_position.png",4,220,900)</f>
        <v/>
      </c>
      <c r="T160">
        <f>IMAGE("https://mitra.stanford.edu/kundaje/oak/projects/neuro-variants/variant_position/credible/roussos_2024/variant_figures/roussos_2024.adolescence.Astrocyte/rs7517355_profile_position.png",4,220,900)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-0.0029468393</v>
      </c>
      <c r="G161" t="n">
        <v>0.6288439316656704</v>
      </c>
      <c r="H161" t="n">
        <v>0.0311147353834276</v>
      </c>
      <c r="I161" t="n">
        <v>0.0275349171695235</v>
      </c>
      <c r="J161" t="n">
        <v>0.0032022371895676</v>
      </c>
      <c r="K161" t="n">
        <v>0.7988001155864206</v>
      </c>
      <c r="L161" t="b">
        <v>0</v>
      </c>
      <c r="M161" t="b">
        <v>0</v>
      </c>
      <c r="N161" t="inlineStr">
        <is>
          <t>ref</t>
        </is>
      </c>
      <c r="O161" t="n">
        <v>-85</v>
      </c>
      <c r="P161" t="n">
        <v>0.00659</v>
      </c>
      <c r="Q161" t="n">
        <v>-100</v>
      </c>
      <c r="R161" t="n">
        <v>0.2256</v>
      </c>
      <c r="S161">
        <f>IMAGE("https://mitra.stanford.edu/kundaje/oak/projects/neuro-variants/variant_position/credible/roussos_2024/variant_figures/roussos_2024.adolescence.Astrocyte/rs10732841_count_position.png",4,220,900)</f>
        <v/>
      </c>
      <c r="T161">
        <f>IMAGE("https://mitra.stanford.edu/kundaje/oak/projects/neuro-variants/variant_position/credible/roussos_2024/variant_figures/roussos_2024.adolescence.Astrocyte/rs10732841_profile_position.png",4,220,900)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0.065749821</v>
      </c>
      <c r="G162" t="n">
        <v>0.1770089838271389</v>
      </c>
      <c r="H162" t="n">
        <v>0.015324740875616</v>
      </c>
      <c r="I162" t="n">
        <v>0.3089303977294577</v>
      </c>
      <c r="J162" t="n">
        <v>0.1438885262439545</v>
      </c>
      <c r="K162" t="n">
        <v>0.2619346638872554</v>
      </c>
      <c r="L162" t="b">
        <v>0</v>
      </c>
      <c r="M162" t="b">
        <v>0</v>
      </c>
      <c r="N162" t="inlineStr">
        <is>
          <t>alt</t>
        </is>
      </c>
      <c r="O162" t="n">
        <v>-10</v>
      </c>
      <c r="P162" t="n">
        <v>0.001005</v>
      </c>
      <c r="Q162" t="n">
        <v>-100</v>
      </c>
      <c r="R162" t="n">
        <v>0.07480000000000001</v>
      </c>
      <c r="S162">
        <f>IMAGE("https://mitra.stanford.edu/kundaje/oak/projects/neuro-variants/variant_position/credible/roussos_2024/variant_figures/roussos_2024.adolescence.Astrocyte/rs1885247_count_position.png",4,220,900)</f>
        <v/>
      </c>
      <c r="T162">
        <f>IMAGE("https://mitra.stanford.edu/kundaje/oak/projects/neuro-variants/variant_position/credible/roussos_2024/variant_figures/roussos_2024.adolescence.Astrocyte/rs1885247_profile_position.png",4,220,900)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-0.187879548</v>
      </c>
      <c r="G163" t="n">
        <v>0.0214651413286146</v>
      </c>
      <c r="H163" t="n">
        <v>0.0291131748391662</v>
      </c>
      <c r="I163" t="n">
        <v>0.0370234695073356</v>
      </c>
      <c r="J163" t="n">
        <v>0.0421201376732041</v>
      </c>
      <c r="K163" t="n">
        <v>0.499169126383461</v>
      </c>
      <c r="L163" t="b">
        <v>0</v>
      </c>
      <c r="M163" t="b">
        <v>0</v>
      </c>
      <c r="N163" t="inlineStr">
        <is>
          <t>ref</t>
        </is>
      </c>
      <c r="O163" t="n">
        <v>-100</v>
      </c>
      <c r="P163" t="n">
        <v>0.00509</v>
      </c>
      <c r="Q163" t="n">
        <v>-95</v>
      </c>
      <c r="R163" t="n">
        <v>0.1671</v>
      </c>
      <c r="S163">
        <f>IMAGE("https://mitra.stanford.edu/kundaje/oak/projects/neuro-variants/variant_position/credible/roussos_2024/variant_figures/roussos_2024.adolescence.Astrocyte/rs2208565_count_position.png",4,220,900)</f>
        <v/>
      </c>
      <c r="T163">
        <f>IMAGE("https://mitra.stanford.edu/kundaje/oak/projects/neuro-variants/variant_position/credible/roussos_2024/variant_figures/roussos_2024.adolescence.Astrocyte/rs2208565_profile_position.png",4,220,900)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0.0383868605999999</v>
      </c>
      <c r="G164" t="n">
        <v>0.3148805063552505</v>
      </c>
      <c r="H164" t="n">
        <v>0.0104166965456459</v>
      </c>
      <c r="I164" t="n">
        <v>0.7178095719776968</v>
      </c>
      <c r="J164" t="n">
        <v>0.0003834970180695</v>
      </c>
      <c r="K164" t="n">
        <v>0.93257720819648</v>
      </c>
      <c r="L164" t="b">
        <v>0</v>
      </c>
      <c r="M164" t="b">
        <v>0</v>
      </c>
      <c r="N164" t="inlineStr">
        <is>
          <t>alt</t>
        </is>
      </c>
      <c r="O164" t="n">
        <v>-65</v>
      </c>
      <c r="P164" t="n">
        <v>0.00643</v>
      </c>
      <c r="Q164" t="n">
        <v>-90</v>
      </c>
      <c r="R164" t="n">
        <v>0.1218</v>
      </c>
      <c r="S164">
        <f>IMAGE("https://mitra.stanford.edu/kundaje/oak/projects/neuro-variants/variant_position/credible/roussos_2024/variant_figures/roussos_2024.adolescence.Astrocyte/rs2340399_count_position.png",4,220,900)</f>
        <v/>
      </c>
      <c r="T164">
        <f>IMAGE("https://mitra.stanford.edu/kundaje/oak/projects/neuro-variants/variant_position/credible/roussos_2024/variant_figures/roussos_2024.adolescence.Astrocyte/rs2340399_profile_position.png",4,220,900)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-0.096758501</v>
      </c>
      <c r="G165" t="n">
        <v>0.09604965408399919</v>
      </c>
      <c r="H165" t="n">
        <v>0.0146247816324415</v>
      </c>
      <c r="I165" t="n">
        <v>0.3461747891101266</v>
      </c>
      <c r="J165" t="n">
        <v>0.0004747351867786</v>
      </c>
      <c r="K165" t="n">
        <v>0.9214971301837416</v>
      </c>
      <c r="L165" t="b">
        <v>0</v>
      </c>
      <c r="M165" t="b">
        <v>0</v>
      </c>
      <c r="N165" t="inlineStr">
        <is>
          <t>ref</t>
        </is>
      </c>
      <c r="O165" t="n">
        <v>-100</v>
      </c>
      <c r="P165" t="n">
        <v>0.0591</v>
      </c>
      <c r="Q165" t="n">
        <v>75</v>
      </c>
      <c r="R165" t="n">
        <v>0.05725</v>
      </c>
      <c r="S165">
        <f>IMAGE("https://mitra.stanford.edu/kundaje/oak/projects/neuro-variants/variant_position/credible/roussos_2024/variant_figures/roussos_2024.adolescence.Astrocyte/rs10890034_count_position.png",4,220,900)</f>
        <v/>
      </c>
      <c r="T165">
        <f>IMAGE("https://mitra.stanford.edu/kundaje/oak/projects/neuro-variants/variant_position/credible/roussos_2024/variant_figures/roussos_2024.adolescence.Astrocyte/rs10890034_profile_position.png",4,220,900)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0.0760018526</v>
      </c>
      <c r="G166" t="n">
        <v>0.1640382145936906</v>
      </c>
      <c r="H166" t="n">
        <v>0.0122172901713916</v>
      </c>
      <c r="I166" t="n">
        <v>0.5269577002513683</v>
      </c>
      <c r="J166" t="n">
        <v>0.000877518321811</v>
      </c>
      <c r="K166" t="n">
        <v>0.8794065655903156</v>
      </c>
      <c r="L166" t="b">
        <v>0</v>
      </c>
      <c r="M166" t="b">
        <v>0</v>
      </c>
      <c r="N166" t="inlineStr">
        <is>
          <t>alt</t>
        </is>
      </c>
      <c r="O166" t="n">
        <v>-5</v>
      </c>
      <c r="P166" t="n">
        <v>0.001053</v>
      </c>
      <c r="Q166" t="n">
        <v>90</v>
      </c>
      <c r="R166" t="n">
        <v>0.1002</v>
      </c>
      <c r="S166">
        <f>IMAGE("https://mitra.stanford.edu/kundaje/oak/projects/neuro-variants/variant_position/credible/roussos_2024/variant_figures/roussos_2024.adolescence.Astrocyte/rs6689032_count_position.png",4,220,900)</f>
        <v/>
      </c>
      <c r="T166">
        <f>IMAGE("https://mitra.stanford.edu/kundaje/oak/projects/neuro-variants/variant_position/credible/roussos_2024/variant_figures/roussos_2024.adolescence.Astrocyte/rs6689032_profile_position.png",4,220,900)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0.0144954145</v>
      </c>
      <c r="G167" t="n">
        <v>0.6433130998304051</v>
      </c>
      <c r="H167" t="n">
        <v>0.0244139698969599</v>
      </c>
      <c r="I167" t="n">
        <v>0.068869063199682</v>
      </c>
      <c r="J167" t="n">
        <v>0.0014538765095094</v>
      </c>
      <c r="K167" t="n">
        <v>0.8557894615950191</v>
      </c>
      <c r="L167" t="b">
        <v>0</v>
      </c>
      <c r="M167" t="b">
        <v>0</v>
      </c>
      <c r="N167" t="inlineStr">
        <is>
          <t>alt</t>
        </is>
      </c>
      <c r="O167" t="n">
        <v>15</v>
      </c>
      <c r="P167" t="n">
        <v>0.00966</v>
      </c>
      <c r="Q167" t="n">
        <v>-30</v>
      </c>
      <c r="R167" t="n">
        <v>0.1455</v>
      </c>
      <c r="S167">
        <f>IMAGE("https://mitra.stanford.edu/kundaje/oak/projects/neuro-variants/variant_position/credible/roussos_2024/variant_figures/roussos_2024.adolescence.Astrocyte/rs1923228_count_position.png",4,220,900)</f>
        <v/>
      </c>
      <c r="T167">
        <f>IMAGE("https://mitra.stanford.edu/kundaje/oak/projects/neuro-variants/variant_position/credible/roussos_2024/variant_figures/roussos_2024.adolescence.Astrocyte/rs1923228_profile_position.png",4,220,900)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0.003925082692</v>
      </c>
      <c r="G168" t="n">
        <v>0.8575665807633543</v>
      </c>
      <c r="H168" t="n">
        <v>0.0182710444980605</v>
      </c>
      <c r="I168" t="n">
        <v>0.1818829807076185</v>
      </c>
      <c r="J168" t="n">
        <v>0.0003478918790611</v>
      </c>
      <c r="K168" t="n">
        <v>0.9339994794931236</v>
      </c>
      <c r="L168" t="b">
        <v>0</v>
      </c>
      <c r="M168" t="b">
        <v>0</v>
      </c>
      <c r="N168" t="inlineStr">
        <is>
          <t>alt</t>
        </is>
      </c>
      <c r="O168" t="n">
        <v>-45</v>
      </c>
      <c r="P168" t="n">
        <v>0.003967</v>
      </c>
      <c r="Q168" t="n">
        <v>-75</v>
      </c>
      <c r="R168" t="n">
        <v>0.0653</v>
      </c>
      <c r="S168">
        <f>IMAGE("https://mitra.stanford.edu/kundaje/oak/projects/neuro-variants/variant_position/credible/roussos_2024/variant_figures/roussos_2024.adolescence.Astrocyte/rs11210227_count_position.png",4,220,900)</f>
        <v/>
      </c>
      <c r="T168">
        <f>IMAGE("https://mitra.stanford.edu/kundaje/oak/projects/neuro-variants/variant_position/credible/roussos_2024/variant_figures/roussos_2024.adolescence.Astrocyte/rs11210227_profile_position.png",4,220,900)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-0.01385669872</v>
      </c>
      <c r="G169" t="n">
        <v>0.6737539734538324</v>
      </c>
      <c r="H169" t="n">
        <v>0.0395077575690568</v>
      </c>
      <c r="I169" t="n">
        <v>0.0100691324959204</v>
      </c>
      <c r="J169" t="n">
        <v>0.0008278194819452</v>
      </c>
      <c r="K169" t="n">
        <v>0.9110250877149764</v>
      </c>
      <c r="L169" t="b">
        <v>0</v>
      </c>
      <c r="M169" t="b">
        <v>0</v>
      </c>
      <c r="N169" t="inlineStr">
        <is>
          <t>ref</t>
        </is>
      </c>
      <c r="O169" t="n">
        <v>-100</v>
      </c>
      <c r="P169" t="n">
        <v>0.02805</v>
      </c>
      <c r="Q169" t="n">
        <v>-50</v>
      </c>
      <c r="R169" t="n">
        <v>0.1603</v>
      </c>
      <c r="S169">
        <f>IMAGE("https://mitra.stanford.edu/kundaje/oak/projects/neuro-variants/variant_position/credible/roussos_2024/variant_figures/roussos_2024.adolescence.Astrocyte/rs55994666_count_position.png",4,220,900)</f>
        <v/>
      </c>
      <c r="T169">
        <f>IMAGE("https://mitra.stanford.edu/kundaje/oak/projects/neuro-variants/variant_position/credible/roussos_2024/variant_figures/roussos_2024.adolescence.Astrocyte/rs55994666_profile_position.png",4,220,900)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-0.000312695244</v>
      </c>
      <c r="G170" t="n">
        <v>0.8077515702111489</v>
      </c>
      <c r="H170" t="n">
        <v>0.0254152091436952</v>
      </c>
      <c r="I170" t="n">
        <v>0.0594899219477708</v>
      </c>
      <c r="J170" t="n">
        <v>0.0251898940747114</v>
      </c>
      <c r="K170" t="n">
        <v>0.5525057872029131</v>
      </c>
      <c r="L170" t="b">
        <v>0</v>
      </c>
      <c r="M170" t="b">
        <v>0</v>
      </c>
      <c r="N170" t="inlineStr">
        <is>
          <t>ref</t>
        </is>
      </c>
      <c r="O170" t="n">
        <v>-25</v>
      </c>
      <c r="P170" t="n">
        <v>0.00647</v>
      </c>
      <c r="Q170" t="n">
        <v>-100</v>
      </c>
      <c r="R170" t="n">
        <v>0.115</v>
      </c>
      <c r="S170">
        <f>IMAGE("https://mitra.stanford.edu/kundaje/oak/projects/neuro-variants/variant_position/credible/roussos_2024/variant_figures/roussos_2024.adolescence.Astrocyte/rs11210258_count_position.png",4,220,900)</f>
        <v/>
      </c>
      <c r="T170">
        <f>IMAGE("https://mitra.stanford.edu/kundaje/oak/projects/neuro-variants/variant_position/credible/roussos_2024/variant_figures/roussos_2024.adolescence.Astrocyte/rs11210258_profile_position.png",4,220,900)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0.0112122578</v>
      </c>
      <c r="G171" t="n">
        <v>0.7112793222509809</v>
      </c>
      <c r="H171" t="n">
        <v>0.0225843073423472</v>
      </c>
      <c r="I171" t="n">
        <v>0.0905485235323521</v>
      </c>
      <c r="J171" t="n">
        <v>0.00084488027772</v>
      </c>
      <c r="K171" t="n">
        <v>0.8799395259434301</v>
      </c>
      <c r="L171" t="b">
        <v>0</v>
      </c>
      <c r="M171" t="b">
        <v>0</v>
      </c>
      <c r="N171" t="inlineStr">
        <is>
          <t>alt</t>
        </is>
      </c>
      <c r="O171" t="n">
        <v>-65</v>
      </c>
      <c r="P171" t="n">
        <v>0.007294</v>
      </c>
      <c r="Q171" t="n">
        <v>35</v>
      </c>
      <c r="R171" t="n">
        <v>0.04553</v>
      </c>
      <c r="S171">
        <f>IMAGE("https://mitra.stanford.edu/kundaje/oak/projects/neuro-variants/variant_position/credible/roussos_2024/variant_figures/roussos_2024.adolescence.Astrocyte/rs1546271_count_position.png",4,220,900)</f>
        <v/>
      </c>
      <c r="T171">
        <f>IMAGE("https://mitra.stanford.edu/kundaje/oak/projects/neuro-variants/variant_position/credible/roussos_2024/variant_figures/roussos_2024.adolescence.Astrocyte/rs1546271_profile_position.png",4,220,900)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-0.173822336</v>
      </c>
      <c r="G172" t="n">
        <v>0.0273634933279071</v>
      </c>
      <c r="H172" t="n">
        <v>0.0378779914460099</v>
      </c>
      <c r="I172" t="n">
        <v>0.0167041097814644</v>
      </c>
      <c r="J172" t="n">
        <v>0.0843018425659436</v>
      </c>
      <c r="K172" t="n">
        <v>0.3505634994110937</v>
      </c>
      <c r="L172" t="b">
        <v>1</v>
      </c>
      <c r="M172" t="b">
        <v>0</v>
      </c>
      <c r="N172" t="inlineStr">
        <is>
          <t>ref</t>
        </is>
      </c>
      <c r="O172" t="n">
        <v>55</v>
      </c>
      <c r="P172" t="n">
        <v>0.00467</v>
      </c>
      <c r="Q172" t="n">
        <v>15</v>
      </c>
      <c r="R172" t="n">
        <v>0.03247</v>
      </c>
      <c r="S172">
        <f>IMAGE("https://mitra.stanford.edu/kundaje/oak/projects/neuro-variants/variant_position/credible/roussos_2024/variant_figures/roussos_2024.adolescence.Astrocyte/rs11210274_count_position.png",4,220,900)</f>
        <v/>
      </c>
      <c r="T172">
        <f>IMAGE("https://mitra.stanford.edu/kundaje/oak/projects/neuro-variants/variant_position/credible/roussos_2024/variant_figures/roussos_2024.adolescence.Astrocyte/rs11210274_profile_position.png",4,220,900)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-0.0058520897</v>
      </c>
      <c r="G173" t="n">
        <v>0.7948567209993294</v>
      </c>
      <c r="H173" t="n">
        <v>0.0230597573148559</v>
      </c>
      <c r="I173" t="n">
        <v>0.0847391426894404</v>
      </c>
      <c r="J173" t="n">
        <v>0.0131620330534373</v>
      </c>
      <c r="K173" t="n">
        <v>0.6542239716787349</v>
      </c>
      <c r="L173" t="b">
        <v>0</v>
      </c>
      <c r="M173" t="b">
        <v>0</v>
      </c>
      <c r="N173" t="inlineStr">
        <is>
          <t>ref</t>
        </is>
      </c>
      <c r="O173" t="n">
        <v>-100</v>
      </c>
      <c r="P173" t="n">
        <v>0.0372</v>
      </c>
      <c r="Q173" t="n">
        <v>-25</v>
      </c>
      <c r="R173" t="n">
        <v>0.007675</v>
      </c>
      <c r="S173">
        <f>IMAGE("https://mitra.stanford.edu/kundaje/oak/projects/neuro-variants/variant_position/credible/roussos_2024/variant_figures/roussos_2024.adolescence.Astrocyte/rs12042444_count_position.png",4,220,900)</f>
        <v/>
      </c>
      <c r="T173">
        <f>IMAGE("https://mitra.stanford.edu/kundaje/oak/projects/neuro-variants/variant_position/credible/roussos_2024/variant_figures/roussos_2024.adolescence.Astrocyte/rs12042444_profile_position.png",4,220,900)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0.09476128</v>
      </c>
      <c r="G174" t="n">
        <v>0.0855450496375218</v>
      </c>
      <c r="H174" t="n">
        <v>0.0133690424515994</v>
      </c>
      <c r="I174" t="n">
        <v>0.4309555360635842</v>
      </c>
      <c r="J174" t="n">
        <v>0.0176705337803756</v>
      </c>
      <c r="K174" t="n">
        <v>0.6002718084651756</v>
      </c>
      <c r="L174" t="b">
        <v>0</v>
      </c>
      <c r="M174" t="b">
        <v>0</v>
      </c>
      <c r="N174" t="inlineStr">
        <is>
          <t>alt</t>
        </is>
      </c>
      <c r="O174" t="n">
        <v>-55</v>
      </c>
      <c r="P174" t="n">
        <v>0.00899</v>
      </c>
      <c r="Q174" t="n">
        <v>-60</v>
      </c>
      <c r="R174" t="n">
        <v>0.2554</v>
      </c>
      <c r="S174">
        <f>IMAGE("https://mitra.stanford.edu/kundaje/oak/projects/neuro-variants/variant_position/credible/roussos_2024/variant_figures/roussos_2024.adolescence.Astrocyte/rs5006353_count_position.png",4,220,900)</f>
        <v/>
      </c>
      <c r="T174">
        <f>IMAGE("https://mitra.stanford.edu/kundaje/oak/projects/neuro-variants/variant_position/credible/roussos_2024/variant_figures/roussos_2024.adolescence.Astrocyte/rs5006353_profile_position.png",4,220,900)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-0.0123354475</v>
      </c>
      <c r="G175" t="n">
        <v>0.6467824163237778</v>
      </c>
      <c r="H175" t="n">
        <v>0.0290139816155092</v>
      </c>
      <c r="I175" t="n">
        <v>0.0355390916055788</v>
      </c>
      <c r="J175" t="n">
        <v>0.0513967599323501</v>
      </c>
      <c r="K175" t="n">
        <v>0.4325498472916981</v>
      </c>
      <c r="L175" t="b">
        <v>0</v>
      </c>
      <c r="M175" t="b">
        <v>0</v>
      </c>
      <c r="N175" t="inlineStr">
        <is>
          <t>ref</t>
        </is>
      </c>
      <c r="O175" t="n">
        <v>95</v>
      </c>
      <c r="P175" t="n">
        <v>0.00959</v>
      </c>
      <c r="Q175" t="n">
        <v>100</v>
      </c>
      <c r="R175" t="n">
        <v>0.2002</v>
      </c>
      <c r="S175">
        <f>IMAGE("https://mitra.stanford.edu/kundaje/oak/projects/neuro-variants/variant_position/credible/roussos_2024/variant_figures/roussos_2024.adolescence.Astrocyte/rs17577938_count_position.png",4,220,900)</f>
        <v/>
      </c>
      <c r="T175">
        <f>IMAGE("https://mitra.stanford.edu/kundaje/oak/projects/neuro-variants/variant_position/credible/roussos_2024/variant_figures/roussos_2024.adolescence.Astrocyte/rs17577938_profile_position.png",4,220,900)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-0.1352004908</v>
      </c>
      <c r="G176" t="n">
        <v>0.0465918648947218</v>
      </c>
      <c r="H176" t="n">
        <v>0.0180614759629392</v>
      </c>
      <c r="I176" t="n">
        <v>0.1944451510355959</v>
      </c>
      <c r="J176" t="n">
        <v>0.0109804765154436</v>
      </c>
      <c r="K176" t="n">
        <v>0.655811145986712</v>
      </c>
      <c r="L176" t="b">
        <v>0</v>
      </c>
      <c r="M176" t="b">
        <v>0</v>
      </c>
      <c r="N176" t="inlineStr">
        <is>
          <t>ref</t>
        </is>
      </c>
      <c r="O176" t="n">
        <v>-100</v>
      </c>
      <c r="P176" t="n">
        <v>0.0051</v>
      </c>
      <c r="Q176" t="n">
        <v>85</v>
      </c>
      <c r="R176" t="n">
        <v>0.1544</v>
      </c>
      <c r="S176">
        <f>IMAGE("https://mitra.stanford.edu/kundaje/oak/projects/neuro-variants/variant_position/credible/roussos_2024/variant_figures/roussos_2024.adolescence.Astrocyte/rs761406_count_position.png",4,220,900)</f>
        <v/>
      </c>
      <c r="T176">
        <f>IMAGE("https://mitra.stanford.edu/kundaje/oak/projects/neuro-variants/variant_position/credible/roussos_2024/variant_figures/roussos_2024.adolescence.Astrocyte/rs761406_profile_position.png",4,220,900)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0.276781856</v>
      </c>
      <c r="G177" t="n">
        <v>0.0074230409244499</v>
      </c>
      <c r="H177" t="n">
        <v>0.0343811883222074</v>
      </c>
      <c r="I177" t="n">
        <v>0.0187418357288632</v>
      </c>
      <c r="J177" t="n">
        <v>0.06861481173782739</v>
      </c>
      <c r="K177" t="n">
        <v>0.3946483910506312</v>
      </c>
      <c r="L177" t="b">
        <v>1</v>
      </c>
      <c r="M177" t="b">
        <v>1</v>
      </c>
      <c r="N177" t="inlineStr">
        <is>
          <t>alt</t>
        </is>
      </c>
      <c r="O177" t="n">
        <v>60</v>
      </c>
      <c r="P177" t="n">
        <v>0.00241</v>
      </c>
      <c r="Q177" t="n">
        <v>20</v>
      </c>
      <c r="R177" t="n">
        <v>0.007324</v>
      </c>
      <c r="S177">
        <f>IMAGE("https://mitra.stanford.edu/kundaje/oak/projects/neuro-variants/variant_position/credible/roussos_2024/variant_figures/roussos_2024.adolescence.Astrocyte/rs12756558_count_position.png",4,220,900)</f>
        <v/>
      </c>
      <c r="T177">
        <f>IMAGE("https://mitra.stanford.edu/kundaje/oak/projects/neuro-variants/variant_position/credible/roussos_2024/variant_figures/roussos_2024.adolescence.Astrocyte/rs12756558_profile_position.png",4,220,900)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0.0543470646</v>
      </c>
      <c r="G178" t="n">
        <v>0.1711541644427125</v>
      </c>
      <c r="H178" t="n">
        <v>0.016911086600584</v>
      </c>
      <c r="I178" t="n">
        <v>0.2326086830100703</v>
      </c>
      <c r="J178" t="n">
        <v>0.0167922736848351</v>
      </c>
      <c r="K178" t="n">
        <v>0.5994022825858589</v>
      </c>
      <c r="L178" t="b">
        <v>0</v>
      </c>
      <c r="M178" t="b">
        <v>0</v>
      </c>
      <c r="N178" t="inlineStr">
        <is>
          <t>alt</t>
        </is>
      </c>
      <c r="O178" t="n">
        <v>70</v>
      </c>
      <c r="P178" t="n">
        <v>0.00423</v>
      </c>
      <c r="Q178" t="n">
        <v>50</v>
      </c>
      <c r="R178" t="n">
        <v>0.1622</v>
      </c>
      <c r="S178">
        <f>IMAGE("https://mitra.stanford.edu/kundaje/oak/projects/neuro-variants/variant_position/credible/roussos_2024/variant_figures/roussos_2024.adolescence.Astrocyte/rs12071951_count_position.png",4,220,900)</f>
        <v/>
      </c>
      <c r="T178">
        <f>IMAGE("https://mitra.stanford.edu/kundaje/oak/projects/neuro-variants/variant_position/credible/roussos_2024/variant_figures/roussos_2024.adolescence.Astrocyte/rs12071951_profile_position.png",4,220,900)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-0.00591051426</v>
      </c>
      <c r="G179" t="n">
        <v>0.7259003734412607</v>
      </c>
      <c r="H179" t="n">
        <v>0.008918595560479</v>
      </c>
      <c r="I179" t="n">
        <v>0.8431202507530302</v>
      </c>
      <c r="J179" t="n">
        <v>0.0014056612171023</v>
      </c>
      <c r="K179" t="n">
        <v>0.8460972061860104</v>
      </c>
      <c r="L179" t="b">
        <v>0</v>
      </c>
      <c r="M179" t="b">
        <v>0</v>
      </c>
      <c r="N179" t="inlineStr">
        <is>
          <t>ref</t>
        </is>
      </c>
      <c r="O179" t="n">
        <v>-95</v>
      </c>
      <c r="P179" t="n">
        <v>0.003006</v>
      </c>
      <c r="Q179" t="n">
        <v>-75</v>
      </c>
      <c r="R179" t="n">
        <v>0.1212</v>
      </c>
      <c r="S179">
        <f>IMAGE("https://mitra.stanford.edu/kundaje/oak/projects/neuro-variants/variant_position/credible/roussos_2024/variant_figures/roussos_2024.adolescence.Astrocyte/rs7528506_count_position.png",4,220,900)</f>
        <v/>
      </c>
      <c r="T179">
        <f>IMAGE("https://mitra.stanford.edu/kundaje/oak/projects/neuro-variants/variant_position/credible/roussos_2024/variant_figures/roussos_2024.adolescence.Astrocyte/rs7528506_profile_position.png",4,220,900)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-0.094298885</v>
      </c>
      <c r="G180" t="n">
        <v>0.1040869704826133</v>
      </c>
      <c r="H180" t="n">
        <v>0.0249805684395738</v>
      </c>
      <c r="I180" t="n">
        <v>0.0637465213208717</v>
      </c>
      <c r="J180" t="n">
        <v>0.0052146693172714</v>
      </c>
      <c r="K180" t="n">
        <v>0.7348012596793586</v>
      </c>
      <c r="L180" t="b">
        <v>0</v>
      </c>
      <c r="M180" t="b">
        <v>0</v>
      </c>
      <c r="N180" t="inlineStr">
        <is>
          <t>ref</t>
        </is>
      </c>
      <c r="O180" t="n">
        <v>15</v>
      </c>
      <c r="P180" t="n">
        <v>0.004456</v>
      </c>
      <c r="Q180" t="n">
        <v>35</v>
      </c>
      <c r="R180" t="n">
        <v>0.09370000000000001</v>
      </c>
      <c r="S180">
        <f>IMAGE("https://mitra.stanford.edu/kundaje/oak/projects/neuro-variants/variant_position/credible/roussos_2024/variant_figures/roussos_2024.adolescence.Astrocyte/rs59012322_count_position.png",4,220,900)</f>
        <v/>
      </c>
      <c r="T180">
        <f>IMAGE("https://mitra.stanford.edu/kundaje/oak/projects/neuro-variants/variant_position/credible/roussos_2024/variant_figures/roussos_2024.adolescence.Astrocyte/rs59012322_profile_position.png",4,220,900)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-0.0004324606259999</v>
      </c>
      <c r="G181" t="n">
        <v>0.9349652900491274</v>
      </c>
      <c r="H181" t="n">
        <v>0.0114593330753377</v>
      </c>
      <c r="I181" t="n">
        <v>0.6068532975185913</v>
      </c>
      <c r="J181" t="n">
        <v>0.0007803459632673</v>
      </c>
      <c r="K181" t="n">
        <v>0.8951015085057096</v>
      </c>
      <c r="L181" t="b">
        <v>0</v>
      </c>
      <c r="M181" t="b">
        <v>0</v>
      </c>
      <c r="N181" t="inlineStr">
        <is>
          <t>ref</t>
        </is>
      </c>
      <c r="O181" t="n">
        <v>95</v>
      </c>
      <c r="P181" t="n">
        <v>0.001434</v>
      </c>
      <c r="Q181" t="n">
        <v>-85</v>
      </c>
      <c r="R181" t="n">
        <v>0.05786</v>
      </c>
      <c r="S181">
        <f>IMAGE("https://mitra.stanford.edu/kundaje/oak/projects/neuro-variants/variant_position/credible/roussos_2024/variant_figures/roussos_2024.adolescence.Astrocyte/rs6659919_count_position.png",4,220,900)</f>
        <v/>
      </c>
      <c r="T181">
        <f>IMAGE("https://mitra.stanford.edu/kundaje/oak/projects/neuro-variants/variant_position/credible/roussos_2024/variant_figures/roussos_2024.adolescence.Astrocyte/rs6659919_profile_position.png",4,220,900)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0.001259583</v>
      </c>
      <c r="G182" t="n">
        <v>0.7217396330810253</v>
      </c>
      <c r="H182" t="n">
        <v>0.011332194696998</v>
      </c>
      <c r="I182" t="n">
        <v>0.6143884113958926</v>
      </c>
      <c r="J182" t="n">
        <v>0.0003516007477078</v>
      </c>
      <c r="K182" t="n">
        <v>0.9541958775329362</v>
      </c>
      <c r="L182" t="b">
        <v>0</v>
      </c>
      <c r="M182" t="b">
        <v>0</v>
      </c>
      <c r="N182" t="inlineStr">
        <is>
          <t>alt</t>
        </is>
      </c>
      <c r="O182" t="n">
        <v>-30</v>
      </c>
      <c r="P182" t="n">
        <v>0.00135</v>
      </c>
      <c r="Q182" t="n">
        <v>-80</v>
      </c>
      <c r="R182" t="n">
        <v>0.07149999999999999</v>
      </c>
      <c r="S182">
        <f>IMAGE("https://mitra.stanford.edu/kundaje/oak/projects/neuro-variants/variant_position/credible/roussos_2024/variant_figures/roussos_2024.adolescence.Astrocyte/rs12042074_count_position.png",4,220,900)</f>
        <v/>
      </c>
      <c r="T182">
        <f>IMAGE("https://mitra.stanford.edu/kundaje/oak/projects/neuro-variants/variant_position/credible/roussos_2024/variant_figures/roussos_2024.adolescence.Astrocyte/rs12042074_profile_position.png",4,220,900)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0.08882053099999999</v>
      </c>
      <c r="G183" t="n">
        <v>0.0992008152068061</v>
      </c>
      <c r="H183" t="n">
        <v>0.0217415262543741</v>
      </c>
      <c r="I183" t="n">
        <v>0.1029499288160132</v>
      </c>
      <c r="J183" t="n">
        <v>0.0026637094620656</v>
      </c>
      <c r="K183" t="n">
        <v>0.8082969195491858</v>
      </c>
      <c r="L183" t="b">
        <v>0</v>
      </c>
      <c r="M183" t="b">
        <v>0</v>
      </c>
      <c r="N183" t="inlineStr">
        <is>
          <t>alt</t>
        </is>
      </c>
      <c r="O183" t="n">
        <v>90</v>
      </c>
      <c r="P183" t="n">
        <v>0.00583</v>
      </c>
      <c r="Q183" t="n">
        <v>85</v>
      </c>
      <c r="R183" t="n">
        <v>0.04236</v>
      </c>
      <c r="S183">
        <f>IMAGE("https://mitra.stanford.edu/kundaje/oak/projects/neuro-variants/variant_position/credible/roussos_2024/variant_figures/roussos_2024.adolescence.Astrocyte/rs6688086_count_position.png",4,220,900)</f>
        <v/>
      </c>
      <c r="T183">
        <f>IMAGE("https://mitra.stanford.edu/kundaje/oak/projects/neuro-variants/variant_position/credible/roussos_2024/variant_figures/roussos_2024.adolescence.Astrocyte/rs6688086_profile_position.png",4,220,900)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-0.17016937</v>
      </c>
      <c r="G184" t="n">
        <v>0.0293172016368773</v>
      </c>
      <c r="H184" t="n">
        <v>0.016994298162986</v>
      </c>
      <c r="I184" t="n">
        <v>0.2287341668040466</v>
      </c>
      <c r="J184" t="n">
        <v>0.0592476930837017</v>
      </c>
      <c r="K184" t="n">
        <v>0.4113231967967393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0.02576</v>
      </c>
      <c r="Q184" t="n">
        <v>-60</v>
      </c>
      <c r="R184" t="n">
        <v>0.0008545</v>
      </c>
      <c r="S184">
        <f>IMAGE("https://mitra.stanford.edu/kundaje/oak/projects/neuro-variants/variant_position/credible/roussos_2024/variant_figures/roussos_2024.adolescence.Astrocyte/rs12027165_count_position.png",4,220,900)</f>
        <v/>
      </c>
      <c r="T184">
        <f>IMAGE("https://mitra.stanford.edu/kundaje/oak/projects/neuro-variants/variant_position/credible/roussos_2024/variant_figures/roussos_2024.adolescence.Astrocyte/rs12027165_profile_position.png",4,220,900)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0.0567075036</v>
      </c>
      <c r="G185" t="n">
        <v>0.2013840272014015</v>
      </c>
      <c r="H185" t="n">
        <v>0.010797128941705</v>
      </c>
      <c r="I185" t="n">
        <v>0.6762634636446606</v>
      </c>
      <c r="J185" t="n">
        <v>0.009007358395395</v>
      </c>
      <c r="K185" t="n">
        <v>0.6748220690658971</v>
      </c>
      <c r="L185" t="b">
        <v>0</v>
      </c>
      <c r="M185" t="b">
        <v>0</v>
      </c>
      <c r="N185" t="inlineStr">
        <is>
          <t>alt</t>
        </is>
      </c>
      <c r="O185" t="n">
        <v>-75</v>
      </c>
      <c r="P185" t="n">
        <v>0.002792</v>
      </c>
      <c r="Q185" t="n">
        <v>-20</v>
      </c>
      <c r="R185" t="n">
        <v>0.08716</v>
      </c>
      <c r="S185">
        <f>IMAGE("https://mitra.stanford.edu/kundaje/oak/projects/neuro-variants/variant_position/credible/roussos_2024/variant_figures/roussos_2024.adolescence.Astrocyte/rs1496116_count_position.png",4,220,900)</f>
        <v/>
      </c>
      <c r="T185">
        <f>IMAGE("https://mitra.stanford.edu/kundaje/oak/projects/neuro-variants/variant_position/credible/roussos_2024/variant_figures/roussos_2024.adolescence.Astrocyte/rs1496116_profile_position.png",4,220,900)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0.0534455752</v>
      </c>
      <c r="G186" t="n">
        <v>0.2155895263921572</v>
      </c>
      <c r="H186" t="n">
        <v>0.0110443955916093</v>
      </c>
      <c r="I186" t="n">
        <v>0.6519061216090835</v>
      </c>
      <c r="J186" t="n">
        <v>0.088256980090793</v>
      </c>
      <c r="K186" t="n">
        <v>0.3416608005937029</v>
      </c>
      <c r="L186" t="b">
        <v>0</v>
      </c>
      <c r="M186" t="b">
        <v>0</v>
      </c>
      <c r="N186" t="inlineStr">
        <is>
          <t>alt</t>
        </is>
      </c>
      <c r="O186" t="n">
        <v>90</v>
      </c>
      <c r="P186" t="n">
        <v>0.007286</v>
      </c>
      <c r="Q186" t="n">
        <v>-45</v>
      </c>
      <c r="R186" t="n">
        <v>0.06055</v>
      </c>
      <c r="S186">
        <f>IMAGE("https://mitra.stanford.edu/kundaje/oak/projects/neuro-variants/variant_position/credible/roussos_2024/variant_figures/roussos_2024.adolescence.Astrocyte/rs12031518_count_position.png",4,220,900)</f>
        <v/>
      </c>
      <c r="T186">
        <f>IMAGE("https://mitra.stanford.edu/kundaje/oak/projects/neuro-variants/variant_position/credible/roussos_2024/variant_figures/roussos_2024.adolescence.Astrocyte/rs12031518_profile_position.png",4,220,900)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-0.0054212016</v>
      </c>
      <c r="G187" t="n">
        <v>0.7662077504638554</v>
      </c>
      <c r="H187" t="n">
        <v>0.0233551353085857</v>
      </c>
      <c r="I187" t="n">
        <v>0.0803011042342836</v>
      </c>
      <c r="J187" t="n">
        <v>0.0138993561404029</v>
      </c>
      <c r="K187" t="n">
        <v>0.6300680080248158</v>
      </c>
      <c r="L187" t="b">
        <v>0</v>
      </c>
      <c r="M187" t="b">
        <v>0</v>
      </c>
      <c r="N187" t="inlineStr">
        <is>
          <t>ref</t>
        </is>
      </c>
      <c r="O187" t="n">
        <v>85</v>
      </c>
      <c r="P187" t="n">
        <v>0.006996</v>
      </c>
      <c r="Q187" t="n">
        <v>-100</v>
      </c>
      <c r="R187" t="n">
        <v>0.2693</v>
      </c>
      <c r="S187">
        <f>IMAGE("https://mitra.stanford.edu/kundaje/oak/projects/neuro-variants/variant_position/credible/roussos_2024/variant_figures/roussos_2024.adolescence.Astrocyte/rs2132427_count_position.png",4,220,900)</f>
        <v/>
      </c>
      <c r="T187">
        <f>IMAGE("https://mitra.stanford.edu/kundaje/oak/projects/neuro-variants/variant_position/credible/roussos_2024/variant_figures/roussos_2024.adolescence.Astrocyte/rs2132427_profile_position.png",4,220,900)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-0.0237922937</v>
      </c>
      <c r="G188" t="n">
        <v>0.4856802293324037</v>
      </c>
      <c r="H188" t="n">
        <v>0.0132881892094178</v>
      </c>
      <c r="I188" t="n">
        <v>0.4419416589059224</v>
      </c>
      <c r="J188" t="n">
        <v>0.0019582826454617</v>
      </c>
      <c r="K188" t="n">
        <v>0.8254882870856415</v>
      </c>
      <c r="L188" t="b">
        <v>0</v>
      </c>
      <c r="M188" t="b">
        <v>0</v>
      </c>
      <c r="N188" t="inlineStr">
        <is>
          <t>ref</t>
        </is>
      </c>
      <c r="O188" t="n">
        <v>100</v>
      </c>
      <c r="P188" t="n">
        <v>0.03516</v>
      </c>
      <c r="Q188" t="n">
        <v>85</v>
      </c>
      <c r="R188" t="n">
        <v>0.09656000000000001</v>
      </c>
      <c r="S188">
        <f>IMAGE("https://mitra.stanford.edu/kundaje/oak/projects/neuro-variants/variant_position/credible/roussos_2024/variant_figures/roussos_2024.adolescence.Astrocyte/rs10875035_count_position.png",4,220,900)</f>
        <v/>
      </c>
      <c r="T188">
        <f>IMAGE("https://mitra.stanford.edu/kundaje/oak/projects/neuro-variants/variant_position/credible/roussos_2024/variant_figures/roussos_2024.adolescence.Astrocyte/rs10875035_profile_position.png",4,220,900)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-0.01897296564</v>
      </c>
      <c r="G189" t="n">
        <v>0.5806100082739394</v>
      </c>
      <c r="H189" t="n">
        <v>0.0227481184702552</v>
      </c>
      <c r="I189" t="n">
        <v>0.08818889624612269</v>
      </c>
      <c r="J189" t="n">
        <v>0.0600399074266385</v>
      </c>
      <c r="K189" t="n">
        <v>0.4190203880607928</v>
      </c>
      <c r="L189" t="b">
        <v>0</v>
      </c>
      <c r="M189" t="b">
        <v>0</v>
      </c>
      <c r="N189" t="inlineStr">
        <is>
          <t>ref</t>
        </is>
      </c>
      <c r="O189" t="n">
        <v>95</v>
      </c>
      <c r="P189" t="n">
        <v>0.01283</v>
      </c>
      <c r="Q189" t="n">
        <v>-25</v>
      </c>
      <c r="R189" t="n">
        <v>0.0718</v>
      </c>
      <c r="S189">
        <f>IMAGE("https://mitra.stanford.edu/kundaje/oak/projects/neuro-variants/variant_position/credible/roussos_2024/variant_figures/roussos_2024.adolescence.Astrocyte/rs12407539_count_position.png",4,220,900)</f>
        <v/>
      </c>
      <c r="T189">
        <f>IMAGE("https://mitra.stanford.edu/kundaje/oak/projects/neuro-variants/variant_position/credible/roussos_2024/variant_figures/roussos_2024.adolescence.Astrocyte/rs12407539_profile_position.png",4,220,900)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0.0301931361999999</v>
      </c>
      <c r="G190" t="n">
        <v>0.4117782827656706</v>
      </c>
      <c r="H190" t="n">
        <v>0.0194368356379526</v>
      </c>
      <c r="I190" t="n">
        <v>0.1531359350312381</v>
      </c>
      <c r="J190" t="n">
        <v>0.0112972138978725</v>
      </c>
      <c r="K190" t="n">
        <v>0.6452773840760716</v>
      </c>
      <c r="L190" t="b">
        <v>0</v>
      </c>
      <c r="M190" t="b">
        <v>0</v>
      </c>
      <c r="N190" t="inlineStr">
        <is>
          <t>alt</t>
        </is>
      </c>
      <c r="O190" t="n">
        <v>50</v>
      </c>
      <c r="P190" t="n">
        <v>0.005142</v>
      </c>
      <c r="Q190" t="n">
        <v>80</v>
      </c>
      <c r="R190" t="n">
        <v>0.1</v>
      </c>
      <c r="S190">
        <f>IMAGE("https://mitra.stanford.edu/kundaje/oak/projects/neuro-variants/variant_position/credible/roussos_2024/variant_figures/roussos_2024.adolescence.Astrocyte/rs36025579_count_position.png",4,220,900)</f>
        <v/>
      </c>
      <c r="T190">
        <f>IMAGE("https://mitra.stanford.edu/kundaje/oak/projects/neuro-variants/variant_position/credible/roussos_2024/variant_figures/roussos_2024.adolescence.Astrocyte/rs36025579_profile_position.png",4,220,900)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0.0637768254</v>
      </c>
      <c r="G191" t="n">
        <v>0.1600454165871469</v>
      </c>
      <c r="H191" t="n">
        <v>0.0144464678073035</v>
      </c>
      <c r="I191" t="n">
        <v>0.3547656487233642</v>
      </c>
      <c r="J191" t="n">
        <v>0.0010028780820697</v>
      </c>
      <c r="K191" t="n">
        <v>0.8746715941902895</v>
      </c>
      <c r="L191" t="b">
        <v>0</v>
      </c>
      <c r="M191" t="b">
        <v>0</v>
      </c>
      <c r="N191" t="inlineStr">
        <is>
          <t>alt</t>
        </is>
      </c>
      <c r="O191" t="n">
        <v>-95</v>
      </c>
      <c r="P191" t="n">
        <v>0.000862</v>
      </c>
      <c r="Q191" t="n">
        <v>90</v>
      </c>
      <c r="R191" t="n">
        <v>0.1816</v>
      </c>
      <c r="S191">
        <f>IMAGE("https://mitra.stanford.edu/kundaje/oak/projects/neuro-variants/variant_position/credible/roussos_2024/variant_figures/roussos_2024.adolescence.Astrocyte/rs10875073_count_position.png",4,220,900)</f>
        <v/>
      </c>
      <c r="T191">
        <f>IMAGE("https://mitra.stanford.edu/kundaje/oak/projects/neuro-variants/variant_position/credible/roussos_2024/variant_figures/roussos_2024.adolescence.Astrocyte/rs10875073_profile_position.png",4,220,900)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-0.030567615</v>
      </c>
      <c r="G192" t="n">
        <v>0.3700208833363597</v>
      </c>
      <c r="H192" t="n">
        <v>0.0113756752540333</v>
      </c>
      <c r="I192" t="n">
        <v>0.6212144769138183</v>
      </c>
      <c r="J192" t="n">
        <v>0.0041212948402219</v>
      </c>
      <c r="K192" t="n">
        <v>0.7600532084835444</v>
      </c>
      <c r="L192" t="b">
        <v>0</v>
      </c>
      <c r="M192" t="b">
        <v>0</v>
      </c>
      <c r="N192" t="inlineStr">
        <is>
          <t>ref</t>
        </is>
      </c>
      <c r="O192" t="n">
        <v>0</v>
      </c>
      <c r="P192" t="n">
        <v>0</v>
      </c>
      <c r="Q192" t="n">
        <v>-100</v>
      </c>
      <c r="R192" t="n">
        <v>0.0465</v>
      </c>
      <c r="S192">
        <f>IMAGE("https://mitra.stanford.edu/kundaje/oak/projects/neuro-variants/variant_position/credible/roussos_2024/variant_figures/roussos_2024.adolescence.Astrocyte/rs72728414_count_position.png",4,220,900)</f>
        <v/>
      </c>
      <c r="T192">
        <f>IMAGE("https://mitra.stanford.edu/kundaje/oak/projects/neuro-variants/variant_position/credible/roussos_2024/variant_figures/roussos_2024.adolescence.Astrocyte/rs72728414_profile_position.png",4,220,900)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-0.0426570837999999</v>
      </c>
      <c r="G193" t="n">
        <v>0.2945460000566326</v>
      </c>
      <c r="H193" t="n">
        <v>0.0110867195466321</v>
      </c>
      <c r="I193" t="n">
        <v>0.6237365300760724</v>
      </c>
      <c r="J193" t="n">
        <v>0.0774619470076847</v>
      </c>
      <c r="K193" t="n">
        <v>0.3654839317081431</v>
      </c>
      <c r="L193" t="b">
        <v>0</v>
      </c>
      <c r="M193" t="b">
        <v>0</v>
      </c>
      <c r="N193" t="inlineStr">
        <is>
          <t>ref</t>
        </is>
      </c>
      <c r="O193" t="n">
        <v>-55</v>
      </c>
      <c r="P193" t="n">
        <v>0.003422</v>
      </c>
      <c r="Q193" t="n">
        <v>-40</v>
      </c>
      <c r="R193" t="n">
        <v>0.03033</v>
      </c>
      <c r="S193">
        <f>IMAGE("https://mitra.stanford.edu/kundaje/oak/projects/neuro-variants/variant_position/credible/roussos_2024/variant_figures/roussos_2024.adolescence.Astrocyte/rs74105186_count_position.png",4,220,900)</f>
        <v/>
      </c>
      <c r="T193">
        <f>IMAGE("https://mitra.stanford.edu/kundaje/oak/projects/neuro-variants/variant_position/credible/roussos_2024/variant_figures/roussos_2024.adolescence.Astrocyte/rs74105186_profile_position.png",4,220,900)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0.00123132526</v>
      </c>
      <c r="G194" t="n">
        <v>0.4574698440222445</v>
      </c>
      <c r="H194" t="n">
        <v>0.0105663217026056</v>
      </c>
      <c r="I194" t="n">
        <v>0.6767283924364477</v>
      </c>
      <c r="J194" t="n">
        <v>0.1272357060202355</v>
      </c>
      <c r="K194" t="n">
        <v>0.2814795870047171</v>
      </c>
      <c r="L194" t="b">
        <v>0</v>
      </c>
      <c r="M194" t="b">
        <v>0</v>
      </c>
      <c r="N194" t="inlineStr">
        <is>
          <t>alt</t>
        </is>
      </c>
      <c r="O194" t="n">
        <v>100</v>
      </c>
      <c r="P194" t="n">
        <v>0.2578</v>
      </c>
      <c r="Q194" t="n">
        <v>-75</v>
      </c>
      <c r="R194" t="n">
        <v>0.2185</v>
      </c>
      <c r="S194">
        <f>IMAGE("https://mitra.stanford.edu/kundaje/oak/projects/neuro-variants/variant_position/credible/roussos_2024/variant_figures/roussos_2024.adolescence.Astrocyte/rs1112314_count_position.png",4,220,900)</f>
        <v/>
      </c>
      <c r="T194">
        <f>IMAGE("https://mitra.stanford.edu/kundaje/oak/projects/neuro-variants/variant_position/credible/roussos_2024/variant_figures/roussos_2024.adolescence.Astrocyte/rs1112314_profile_position.png",4,220,900)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0.0249786823999999</v>
      </c>
      <c r="G195" t="n">
        <v>0.4610043790397761</v>
      </c>
      <c r="H195" t="n">
        <v>0.0210283796431822</v>
      </c>
      <c r="I195" t="n">
        <v>0.1151068860148112</v>
      </c>
      <c r="J195" t="n">
        <v>0.0489429724356881</v>
      </c>
      <c r="K195" t="n">
        <v>0.4421273086023136</v>
      </c>
      <c r="L195" t="b">
        <v>0</v>
      </c>
      <c r="M195" t="b">
        <v>0</v>
      </c>
      <c r="N195" t="inlineStr">
        <is>
          <t>alt</t>
        </is>
      </c>
      <c r="O195" t="n">
        <v>70</v>
      </c>
      <c r="P195" t="n">
        <v>0.002113</v>
      </c>
      <c r="Q195" t="n">
        <v>-100</v>
      </c>
      <c r="R195" t="n">
        <v>0.05988</v>
      </c>
      <c r="S195">
        <f>IMAGE("https://mitra.stanford.edu/kundaje/oak/projects/neuro-variants/variant_position/credible/roussos_2024/variant_figures/roussos_2024.adolescence.Astrocyte/rs12047563_count_position.png",4,220,900)</f>
        <v/>
      </c>
      <c r="T195">
        <f>IMAGE("https://mitra.stanford.edu/kundaje/oak/projects/neuro-variants/variant_position/credible/roussos_2024/variant_figures/roussos_2024.adolescence.Astrocyte/rs12047563_profile_position.png",4,220,900)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-0.068588962</v>
      </c>
      <c r="G196" t="n">
        <v>0.1580047972304822</v>
      </c>
      <c r="H196" t="n">
        <v>0.0134473399360795</v>
      </c>
      <c r="I196" t="n">
        <v>0.4391714302847631</v>
      </c>
      <c r="J196" t="n">
        <v>0.0044981158947274</v>
      </c>
      <c r="K196" t="n">
        <v>0.7620715139089667</v>
      </c>
      <c r="L196" t="b">
        <v>0</v>
      </c>
      <c r="M196" t="b">
        <v>0</v>
      </c>
      <c r="N196" t="inlineStr">
        <is>
          <t>ref</t>
        </is>
      </c>
      <c r="O196" t="n">
        <v>35</v>
      </c>
      <c r="P196" t="n">
        <v>0.00767</v>
      </c>
      <c r="Q196" t="n">
        <v>5</v>
      </c>
      <c r="R196" t="n">
        <v>0.01062</v>
      </c>
      <c r="S196">
        <f>IMAGE("https://mitra.stanford.edu/kundaje/oak/projects/neuro-variants/variant_position/credible/roussos_2024/variant_figures/roussos_2024.adolescence.Astrocyte/rs4503384_count_position.png",4,220,900)</f>
        <v/>
      </c>
      <c r="T196">
        <f>IMAGE("https://mitra.stanford.edu/kundaje/oak/projects/neuro-variants/variant_position/credible/roussos_2024/variant_figures/roussos_2024.adolescence.Astrocyte/rs4503384_profile_position.png",4,220,900)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0.01769860546</v>
      </c>
      <c r="G197" t="n">
        <v>0.5880691443143453</v>
      </c>
      <c r="H197" t="n">
        <v>0.0250078231418439</v>
      </c>
      <c r="I197" t="n">
        <v>0.06271630493910491</v>
      </c>
      <c r="J197" t="n">
        <v>0.0009613387532266</v>
      </c>
      <c r="K197" t="n">
        <v>0.8767694129782032</v>
      </c>
      <c r="L197" t="b">
        <v>0</v>
      </c>
      <c r="M197" t="b">
        <v>0</v>
      </c>
      <c r="N197" t="inlineStr">
        <is>
          <t>alt</t>
        </is>
      </c>
      <c r="O197" t="n">
        <v>-85</v>
      </c>
      <c r="P197" t="n">
        <v>0.001916</v>
      </c>
      <c r="Q197" t="n">
        <v>-85</v>
      </c>
      <c r="R197" t="n">
        <v>0.1705</v>
      </c>
      <c r="S197">
        <f>IMAGE("https://mitra.stanford.edu/kundaje/oak/projects/neuro-variants/variant_position/credible/roussos_2024/variant_figures/roussos_2024.adolescence.Astrocyte/rs56682383_count_position.png",4,220,900)</f>
        <v/>
      </c>
      <c r="T197">
        <f>IMAGE("https://mitra.stanford.edu/kundaje/oak/projects/neuro-variants/variant_position/credible/roussos_2024/variant_figures/roussos_2024.adolescence.Astrocyte/rs56682383_profile_position.png",4,220,900)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0.041616107</v>
      </c>
      <c r="G198" t="n">
        <v>0.3010608729529767</v>
      </c>
      <c r="H198" t="n">
        <v>0.0122910312453683</v>
      </c>
      <c r="I198" t="n">
        <v>0.5274098461880229</v>
      </c>
      <c r="J198" t="n">
        <v>0.0001127496068599</v>
      </c>
      <c r="K198" t="n">
        <v>0.9799974938379764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0.0508</v>
      </c>
      <c r="Q198" t="n">
        <v>-100</v>
      </c>
      <c r="R198" t="n">
        <v>0.1565</v>
      </c>
      <c r="S198">
        <f>IMAGE("https://mitra.stanford.edu/kundaje/oak/projects/neuro-variants/variant_position/credible/roussos_2024/variant_figures/roussos_2024.adolescence.Astrocyte/rs9727787_count_position.png",4,220,900)</f>
        <v/>
      </c>
      <c r="T198">
        <f>IMAGE("https://mitra.stanford.edu/kundaje/oak/projects/neuro-variants/variant_position/credible/roussos_2024/variant_figures/roussos_2024.adolescence.Astrocyte/rs9727787_profile_position.png",4,220,900)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0.0503625574</v>
      </c>
      <c r="G199" t="n">
        <v>0.2663535262450399</v>
      </c>
      <c r="H199" t="n">
        <v>0.0105362139856123</v>
      </c>
      <c r="I199" t="n">
        <v>0.6909486858280925</v>
      </c>
      <c r="J199" t="n">
        <v>0.0014219802391477</v>
      </c>
      <c r="K199" t="n">
        <v>0.8440733131469803</v>
      </c>
      <c r="L199" t="b">
        <v>0</v>
      </c>
      <c r="M199" t="b">
        <v>0</v>
      </c>
      <c r="N199" t="inlineStr">
        <is>
          <t>alt</t>
        </is>
      </c>
      <c r="O199" t="n">
        <v>-85</v>
      </c>
      <c r="P199" t="n">
        <v>0.011696</v>
      </c>
      <c r="Q199" t="n">
        <v>-65</v>
      </c>
      <c r="R199" t="n">
        <v>0.05084</v>
      </c>
      <c r="S199">
        <f>IMAGE("https://mitra.stanford.edu/kundaje/oak/projects/neuro-variants/variant_position/credible/roussos_2024/variant_figures/roussos_2024.adolescence.Astrocyte/rs55824522_count_position.png",4,220,900)</f>
        <v/>
      </c>
      <c r="T199">
        <f>IMAGE("https://mitra.stanford.edu/kundaje/oak/projects/neuro-variants/variant_position/credible/roussos_2024/variant_figures/roussos_2024.adolescence.Astrocyte/rs55824522_profile_position.png",4,220,900)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0.0113317423</v>
      </c>
      <c r="G200" t="n">
        <v>0.6953635697947101</v>
      </c>
      <c r="H200" t="n">
        <v>0.0325192318853217</v>
      </c>
      <c r="I200" t="n">
        <v>0.0227539722270686</v>
      </c>
      <c r="J200" t="n">
        <v>0.0001194255704239</v>
      </c>
      <c r="K200" t="n">
        <v>0.9715580513746496</v>
      </c>
      <c r="L200" t="b">
        <v>0</v>
      </c>
      <c r="M200" t="b">
        <v>0</v>
      </c>
      <c r="N200" t="inlineStr">
        <is>
          <t>alt</t>
        </is>
      </c>
      <c r="O200" t="n">
        <v>50</v>
      </c>
      <c r="P200" t="n">
        <v>0.006683</v>
      </c>
      <c r="Q200" t="n">
        <v>30</v>
      </c>
      <c r="R200" t="n">
        <v>0.02931</v>
      </c>
      <c r="S200">
        <f>IMAGE("https://mitra.stanford.edu/kundaje/oak/projects/neuro-variants/variant_position/credible/roussos_2024/variant_figures/roussos_2024.adolescence.Astrocyte/rs12043021_count_position.png",4,220,900)</f>
        <v/>
      </c>
      <c r="T200">
        <f>IMAGE("https://mitra.stanford.edu/kundaje/oak/projects/neuro-variants/variant_position/credible/roussos_2024/variant_figures/roussos_2024.adolescence.Astrocyte/rs12043021_profile_position.png",4,220,900)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0.0366265505999999</v>
      </c>
      <c r="G201" t="n">
        <v>0.3254218867053818</v>
      </c>
      <c r="H201" t="n">
        <v>0.0130866586218549</v>
      </c>
      <c r="I201" t="n">
        <v>0.4575388264882337</v>
      </c>
      <c r="J201" t="n">
        <v>0.0001105242856718</v>
      </c>
      <c r="K201" t="n">
        <v>0.9758361336512748</v>
      </c>
      <c r="L201" t="b">
        <v>0</v>
      </c>
      <c r="M201" t="b">
        <v>0</v>
      </c>
      <c r="N201" t="inlineStr">
        <is>
          <t>alt</t>
        </is>
      </c>
      <c r="O201" t="n">
        <v>-55</v>
      </c>
      <c r="P201" t="n">
        <v>0.0354</v>
      </c>
      <c r="Q201" t="n">
        <v>-75</v>
      </c>
      <c r="R201" t="n">
        <v>0.05334</v>
      </c>
      <c r="S201">
        <f>IMAGE("https://mitra.stanford.edu/kundaje/oak/projects/neuro-variants/variant_position/credible/roussos_2024/variant_figures/roussos_2024.adolescence.Astrocyte/rs12040699_count_position.png",4,220,900)</f>
        <v/>
      </c>
      <c r="T201">
        <f>IMAGE("https://mitra.stanford.edu/kundaje/oak/projects/neuro-variants/variant_position/credible/roussos_2024/variant_figures/roussos_2024.adolescence.Astrocyte/rs12040699_profile_position.png",4,220,900)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-0.113222394</v>
      </c>
      <c r="G202" t="n">
        <v>0.0622444149851057</v>
      </c>
      <c r="H202" t="n">
        <v>0.0167723293010656</v>
      </c>
      <c r="I202" t="n">
        <v>0.2350979090175335</v>
      </c>
      <c r="J202" t="n">
        <v>0.0004917959825534</v>
      </c>
      <c r="K202" t="n">
        <v>0.918786173608391</v>
      </c>
      <c r="L202" t="b">
        <v>0</v>
      </c>
      <c r="M202" t="b">
        <v>0</v>
      </c>
      <c r="N202" t="inlineStr">
        <is>
          <t>ref</t>
        </is>
      </c>
      <c r="O202" t="n">
        <v>-100</v>
      </c>
      <c r="P202" t="n">
        <v>0.007282</v>
      </c>
      <c r="Q202" t="n">
        <v>-40</v>
      </c>
      <c r="R202" t="n">
        <v>0.0752</v>
      </c>
      <c r="S202">
        <f>IMAGE("https://mitra.stanford.edu/kundaje/oak/projects/neuro-variants/variant_position/credible/roussos_2024/variant_figures/roussos_2024.adolescence.Astrocyte/rs12026223_count_position.png",4,220,900)</f>
        <v/>
      </c>
      <c r="T202">
        <f>IMAGE("https://mitra.stanford.edu/kundaje/oak/projects/neuro-variants/variant_position/credible/roussos_2024/variant_figures/roussos_2024.adolescence.Astrocyte/rs12026223_profile_position.png",4,220,900)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-0.0233280608</v>
      </c>
      <c r="G203" t="n">
        <v>0.5264203220200526</v>
      </c>
      <c r="H203" t="n">
        <v>0.0079190352030423</v>
      </c>
      <c r="I203" t="n">
        <v>0.9100077761086238</v>
      </c>
      <c r="J203" t="n">
        <v>0.0385796516630566</v>
      </c>
      <c r="K203" t="n">
        <v>0.4741220879098884</v>
      </c>
      <c r="L203" t="b">
        <v>0</v>
      </c>
      <c r="M203" t="b">
        <v>0</v>
      </c>
      <c r="N203" t="inlineStr">
        <is>
          <t>ref</t>
        </is>
      </c>
      <c r="O203" t="n">
        <v>-25</v>
      </c>
      <c r="P203" t="n">
        <v>0.007362</v>
      </c>
      <c r="Q203" t="n">
        <v>-100</v>
      </c>
      <c r="R203" t="n">
        <v>0.1794</v>
      </c>
      <c r="S203">
        <f>IMAGE("https://mitra.stanford.edu/kundaje/oak/projects/neuro-variants/variant_position/credible/roussos_2024/variant_figures/roussos_2024.adolescence.Astrocyte/rs6687374_count_position.png",4,220,900)</f>
        <v/>
      </c>
      <c r="T203">
        <f>IMAGE("https://mitra.stanford.edu/kundaje/oak/projects/neuro-variants/variant_position/credible/roussos_2024/variant_figures/roussos_2024.adolescence.Astrocyte/rs6687374_profile_position.png",4,220,900)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0.0321275296</v>
      </c>
      <c r="G204" t="n">
        <v>0.3767155740863226</v>
      </c>
      <c r="H204" t="n">
        <v>0.008941352718023</v>
      </c>
      <c r="I204" t="n">
        <v>0.8591151204502884</v>
      </c>
      <c r="J204" t="n">
        <v>0.0007677358098685</v>
      </c>
      <c r="K204" t="n">
        <v>0.8959262290953547</v>
      </c>
      <c r="L204" t="b">
        <v>0</v>
      </c>
      <c r="M204" t="b">
        <v>0</v>
      </c>
      <c r="N204" t="inlineStr">
        <is>
          <t>alt</t>
        </is>
      </c>
      <c r="O204" t="n">
        <v>-90</v>
      </c>
      <c r="P204" t="n">
        <v>0.0368</v>
      </c>
      <c r="Q204" t="n">
        <v>-85</v>
      </c>
      <c r="R204" t="n">
        <v>0.0896</v>
      </c>
      <c r="S204">
        <f>IMAGE("https://mitra.stanford.edu/kundaje/oak/projects/neuro-variants/variant_position/credible/roussos_2024/variant_figures/roussos_2024.adolescence.Astrocyte/rs58941846_count_position.png",4,220,900)</f>
        <v/>
      </c>
      <c r="T204">
        <f>IMAGE("https://mitra.stanford.edu/kundaje/oak/projects/neuro-variants/variant_position/credible/roussos_2024/variant_figures/roussos_2024.adolescence.Astrocyte/rs58941846_profile_position.png",4,220,900)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0.0705669684</v>
      </c>
      <c r="G205" t="n">
        <v>0.1490535486509825</v>
      </c>
      <c r="H205" t="n">
        <v>0.0238695710293874</v>
      </c>
      <c r="I205" t="n">
        <v>0.0746467929363317</v>
      </c>
      <c r="J205" t="n">
        <v>0.0116095006379253</v>
      </c>
      <c r="K205" t="n">
        <v>0.6453237134257764</v>
      </c>
      <c r="L205" t="b">
        <v>0</v>
      </c>
      <c r="M205" t="b">
        <v>0</v>
      </c>
      <c r="N205" t="inlineStr">
        <is>
          <t>alt</t>
        </is>
      </c>
      <c r="O205" t="n">
        <v>-100</v>
      </c>
      <c r="P205" t="n">
        <v>0.004593</v>
      </c>
      <c r="Q205" t="n">
        <v>70</v>
      </c>
      <c r="R205" t="n">
        <v>0.1805</v>
      </c>
      <c r="S205">
        <f>IMAGE("https://mitra.stanford.edu/kundaje/oak/projects/neuro-variants/variant_position/credible/roussos_2024/variant_figures/roussos_2024.adolescence.Astrocyte/rs12129397_count_position.png",4,220,900)</f>
        <v/>
      </c>
      <c r="T205">
        <f>IMAGE("https://mitra.stanford.edu/kundaje/oak/projects/neuro-variants/variant_position/credible/roussos_2024/variant_figures/roussos_2024.adolescence.Astrocyte/rs12129397_profile_position.png",4,220,900)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-0.0034345713</v>
      </c>
      <c r="G206" t="n">
        <v>0.856346567468844</v>
      </c>
      <c r="H206" t="n">
        <v>0.0266149373779217</v>
      </c>
      <c r="I206" t="n">
        <v>0.0497980164705477</v>
      </c>
      <c r="J206" t="n">
        <v>0.0007336142183187</v>
      </c>
      <c r="K206" t="n">
        <v>0.9032747545438098</v>
      </c>
      <c r="L206" t="b">
        <v>0</v>
      </c>
      <c r="M206" t="b">
        <v>0</v>
      </c>
      <c r="N206" t="inlineStr">
        <is>
          <t>ref</t>
        </is>
      </c>
      <c r="O206" t="n">
        <v>50</v>
      </c>
      <c r="P206" t="n">
        <v>0.00483</v>
      </c>
      <c r="Q206" t="n">
        <v>-85</v>
      </c>
      <c r="R206" t="n">
        <v>0.1692</v>
      </c>
      <c r="S206">
        <f>IMAGE("https://mitra.stanford.edu/kundaje/oak/projects/neuro-variants/variant_position/credible/roussos_2024/variant_figures/roussos_2024.adolescence.Astrocyte/rs11165872_count_position.png",4,220,900)</f>
        <v/>
      </c>
      <c r="T206">
        <f>IMAGE("https://mitra.stanford.edu/kundaje/oak/projects/neuro-variants/variant_position/credible/roussos_2024/variant_figures/roussos_2024.adolescence.Astrocyte/rs11165872_profile_position.png",4,220,900)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0.051536577</v>
      </c>
      <c r="G207" t="n">
        <v>0.2308665078847297</v>
      </c>
      <c r="H207" t="n">
        <v>0.0168687359496557</v>
      </c>
      <c r="I207" t="n">
        <v>0.2303510993508864</v>
      </c>
      <c r="J207" t="n">
        <v>0.0292696495860902</v>
      </c>
      <c r="K207" t="n">
        <v>0.5372202693125395</v>
      </c>
      <c r="L207" t="b">
        <v>0</v>
      </c>
      <c r="M207" t="b">
        <v>0</v>
      </c>
      <c r="N207" t="inlineStr">
        <is>
          <t>alt</t>
        </is>
      </c>
      <c r="O207" t="n">
        <v>-10</v>
      </c>
      <c r="P207" t="n">
        <v>0.000908</v>
      </c>
      <c r="Q207" t="n">
        <v>-60</v>
      </c>
      <c r="R207" t="n">
        <v>0.05103</v>
      </c>
      <c r="S207">
        <f>IMAGE("https://mitra.stanford.edu/kundaje/oak/projects/neuro-variants/variant_position/credible/roussos_2024/variant_figures/roussos_2024.adolescence.Astrocyte/rs12354219_count_position.png",4,220,900)</f>
        <v/>
      </c>
      <c r="T207">
        <f>IMAGE("https://mitra.stanford.edu/kundaje/oak/projects/neuro-variants/variant_position/credible/roussos_2024/variant_figures/roussos_2024.adolescence.Astrocyte/rs12354219_profile_position.png",4,220,900)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0.0383202731999999</v>
      </c>
      <c r="G208" t="n">
        <v>0.2779824513943546</v>
      </c>
      <c r="H208" t="n">
        <v>0.0231175007208134</v>
      </c>
      <c r="I208" t="n">
        <v>0.08315935458601451</v>
      </c>
      <c r="J208" t="n">
        <v>0.013133103877993</v>
      </c>
      <c r="K208" t="n">
        <v>0.6348280603943395</v>
      </c>
      <c r="L208" t="b">
        <v>0</v>
      </c>
      <c r="M208" t="b">
        <v>0</v>
      </c>
      <c r="N208" t="inlineStr">
        <is>
          <t>alt</t>
        </is>
      </c>
      <c r="O208" t="n">
        <v>-35</v>
      </c>
      <c r="P208" t="n">
        <v>0.0219</v>
      </c>
      <c r="Q208" t="n">
        <v>100</v>
      </c>
      <c r="R208" t="n">
        <v>0.138</v>
      </c>
      <c r="S208">
        <f>IMAGE("https://mitra.stanford.edu/kundaje/oak/projects/neuro-variants/variant_position/credible/roussos_2024/variant_figures/roussos_2024.adolescence.Astrocyte/rs79917705_count_position.png",4,220,900)</f>
        <v/>
      </c>
      <c r="T208">
        <f>IMAGE("https://mitra.stanford.edu/kundaje/oak/projects/neuro-variants/variant_position/credible/roussos_2024/variant_figures/roussos_2024.adolescence.Astrocyte/rs79917705_profile_position.png",4,220,900)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0.017378279</v>
      </c>
      <c r="G209" t="n">
        <v>0.3789940988172092</v>
      </c>
      <c r="H209" t="n">
        <v>0.0348267371556975</v>
      </c>
      <c r="I209" t="n">
        <v>0.0220705371568745</v>
      </c>
      <c r="J209" t="n">
        <v>0.0002989348129246</v>
      </c>
      <c r="K209" t="n">
        <v>0.9446615225015456</v>
      </c>
      <c r="L209" t="b">
        <v>0</v>
      </c>
      <c r="M209" t="b">
        <v>0</v>
      </c>
      <c r="N209" t="inlineStr">
        <is>
          <t>alt</t>
        </is>
      </c>
      <c r="O209" t="n">
        <v>-10</v>
      </c>
      <c r="P209" t="n">
        <v>0.001228</v>
      </c>
      <c r="Q209" t="n">
        <v>100</v>
      </c>
      <c r="R209" t="n">
        <v>0.09546</v>
      </c>
      <c r="S209">
        <f>IMAGE("https://mitra.stanford.edu/kundaje/oak/projects/neuro-variants/variant_position/credible/roussos_2024/variant_figures/roussos_2024.adolescence.Astrocyte/rs10783069_count_position.png",4,220,900)</f>
        <v/>
      </c>
      <c r="T209">
        <f>IMAGE("https://mitra.stanford.edu/kundaje/oak/projects/neuro-variants/variant_position/credible/roussos_2024/variant_figures/roussos_2024.adolescence.Astrocyte/rs10783069_profile_position.png",4,220,900)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-0.199450944</v>
      </c>
      <c r="G210" t="n">
        <v>0.0220277083023692</v>
      </c>
      <c r="H210" t="n">
        <v>0.0248963356822834</v>
      </c>
      <c r="I210" t="n">
        <v>0.0641338193041928</v>
      </c>
      <c r="J210" t="n">
        <v>0.061165919947779</v>
      </c>
      <c r="K210" t="n">
        <v>0.4060885994351528</v>
      </c>
      <c r="L210" t="b">
        <v>0</v>
      </c>
      <c r="M210" t="b">
        <v>0</v>
      </c>
      <c r="N210" t="inlineStr">
        <is>
          <t>ref</t>
        </is>
      </c>
      <c r="O210" t="n">
        <v>-80</v>
      </c>
      <c r="P210" t="n">
        <v>0.003662</v>
      </c>
      <c r="Q210" t="n">
        <v>30</v>
      </c>
      <c r="R210" t="n">
        <v>0.0801</v>
      </c>
      <c r="S210">
        <f>IMAGE("https://mitra.stanford.edu/kundaje/oak/projects/neuro-variants/variant_position/credible/roussos_2024/variant_figures/roussos_2024.adolescence.Astrocyte/rs7537165_count_position.png",4,220,900)</f>
        <v/>
      </c>
      <c r="T210">
        <f>IMAGE("https://mitra.stanford.edu/kundaje/oak/projects/neuro-variants/variant_position/credible/roussos_2024/variant_figures/roussos_2024.adolescence.Astrocyte/rs7537165_profile_position.png",4,220,900)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0.0142297582</v>
      </c>
      <c r="G211" t="n">
        <v>0.6251546521761888</v>
      </c>
      <c r="H211" t="n">
        <v>0.0306923749609139</v>
      </c>
      <c r="I211" t="n">
        <v>0.0289283905678787</v>
      </c>
      <c r="J211" t="n">
        <v>0.000458416164733</v>
      </c>
      <c r="K211" t="n">
        <v>0.9243096907220172</v>
      </c>
      <c r="L211" t="b">
        <v>0</v>
      </c>
      <c r="M211" t="b">
        <v>0</v>
      </c>
      <c r="N211" t="inlineStr">
        <is>
          <t>alt</t>
        </is>
      </c>
      <c r="O211" t="n">
        <v>70</v>
      </c>
      <c r="P211" t="n">
        <v>0.002312</v>
      </c>
      <c r="Q211" t="n">
        <v>100</v>
      </c>
      <c r="R211" t="n">
        <v>0.1614</v>
      </c>
      <c r="S211">
        <f>IMAGE("https://mitra.stanford.edu/kundaje/oak/projects/neuro-variants/variant_position/credible/roussos_2024/variant_figures/roussos_2024.adolescence.Astrocyte/rs2811202_count_position.png",4,220,900)</f>
        <v/>
      </c>
      <c r="T211">
        <f>IMAGE("https://mitra.stanford.edu/kundaje/oak/projects/neuro-variants/variant_position/credible/roussos_2024/variant_figures/roussos_2024.adolescence.Astrocyte/rs2811202_profile_position.png",4,220,900)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-0.0065636024</v>
      </c>
      <c r="G212" t="n">
        <v>0.695163129013339</v>
      </c>
      <c r="H212" t="n">
        <v>0.0173778344738739</v>
      </c>
      <c r="I212" t="n">
        <v>0.2121252958603303</v>
      </c>
      <c r="J212" t="n">
        <v>0.0001750586001245</v>
      </c>
      <c r="K212" t="n">
        <v>0.9619107882836652</v>
      </c>
      <c r="L212" t="b">
        <v>0</v>
      </c>
      <c r="M212" t="b">
        <v>0</v>
      </c>
      <c r="N212" t="inlineStr">
        <is>
          <t>ref</t>
        </is>
      </c>
      <c r="O212" t="n">
        <v>-40</v>
      </c>
      <c r="P212" t="n">
        <v>0.002136</v>
      </c>
      <c r="Q212" t="n">
        <v>-100</v>
      </c>
      <c r="R212" t="n">
        <v>0.032</v>
      </c>
      <c r="S212">
        <f>IMAGE("https://mitra.stanford.edu/kundaje/oak/projects/neuro-variants/variant_position/credible/roussos_2024/variant_figures/roussos_2024.adolescence.Astrocyte/rs2811197_count_position.png",4,220,900)</f>
        <v/>
      </c>
      <c r="T212">
        <f>IMAGE("https://mitra.stanford.edu/kundaje/oak/projects/neuro-variants/variant_position/credible/roussos_2024/variant_figures/roussos_2024.adolescence.Astrocyte/rs2811197_profile_position.png",4,220,900)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-0.02047275008</v>
      </c>
      <c r="G213" t="n">
        <v>0.5275511589565133</v>
      </c>
      <c r="H213" t="n">
        <v>0.0113647659114669</v>
      </c>
      <c r="I213" t="n">
        <v>0.6185859821048917</v>
      </c>
      <c r="J213" t="n">
        <v>0.0067034091920599</v>
      </c>
      <c r="K213" t="n">
        <v>0.7357559716271647</v>
      </c>
      <c r="L213" t="b">
        <v>0</v>
      </c>
      <c r="M213" t="b">
        <v>0</v>
      </c>
      <c r="N213" t="inlineStr">
        <is>
          <t>ref</t>
        </is>
      </c>
      <c r="O213" t="n">
        <v>-100</v>
      </c>
      <c r="P213" t="n">
        <v>0.01168</v>
      </c>
      <c r="Q213" t="n">
        <v>-20</v>
      </c>
      <c r="R213" t="n">
        <v>0.0955</v>
      </c>
      <c r="S213">
        <f>IMAGE("https://mitra.stanford.edu/kundaje/oak/projects/neuro-variants/variant_position/credible/roussos_2024/variant_figures/roussos_2024.adolescence.Astrocyte/rs6663670_count_position.png",4,220,900)</f>
        <v/>
      </c>
      <c r="T213">
        <f>IMAGE("https://mitra.stanford.edu/kundaje/oak/projects/neuro-variants/variant_position/credible/roussos_2024/variant_figures/roussos_2024.adolescence.Astrocyte/rs6663670_profile_position.png",4,220,900)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-0.02813888824</v>
      </c>
      <c r="G214" t="n">
        <v>0.4698530082116142</v>
      </c>
      <c r="H214" t="n">
        <v>0.0359675350650639</v>
      </c>
      <c r="I214" t="n">
        <v>0.0148862012374223</v>
      </c>
      <c r="J214" t="n">
        <v>0.0041331632198913</v>
      </c>
      <c r="K214" t="n">
        <v>0.7718112251051111</v>
      </c>
      <c r="L214" t="b">
        <v>0</v>
      </c>
      <c r="M214" t="b">
        <v>0</v>
      </c>
      <c r="N214" t="inlineStr">
        <is>
          <t>ref</t>
        </is>
      </c>
      <c r="O214" t="n">
        <v>-25</v>
      </c>
      <c r="P214" t="n">
        <v>0.004517</v>
      </c>
      <c r="Q214" t="n">
        <v>-25</v>
      </c>
      <c r="R214" t="n">
        <v>0.06850000000000001</v>
      </c>
      <c r="S214">
        <f>IMAGE("https://mitra.stanford.edu/kundaje/oak/projects/neuro-variants/variant_position/credible/roussos_2024/variant_figures/roussos_2024.adolescence.Astrocyte/rs72975785_count_position.png",4,220,900)</f>
        <v/>
      </c>
      <c r="T214">
        <f>IMAGE("https://mitra.stanford.edu/kundaje/oak/projects/neuro-variants/variant_position/credible/roussos_2024/variant_figures/roussos_2024.adolescence.Astrocyte/rs72975785_profile_position.png",4,220,900)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-0.0008835600299998999</v>
      </c>
      <c r="G215" t="n">
        <v>0.9319333537675596</v>
      </c>
      <c r="H215" t="n">
        <v>0.0075745782642726</v>
      </c>
      <c r="I215" t="n">
        <v>0.9425997713236048</v>
      </c>
      <c r="J215" t="n">
        <v>0.001919710411536</v>
      </c>
      <c r="K215" t="n">
        <v>0.8517693971777146</v>
      </c>
      <c r="L215" t="b">
        <v>0</v>
      </c>
      <c r="M215" t="b">
        <v>0</v>
      </c>
      <c r="N215" t="inlineStr">
        <is>
          <t>ref</t>
        </is>
      </c>
      <c r="O215" t="n">
        <v>100</v>
      </c>
      <c r="P215" t="n">
        <v>0.01869</v>
      </c>
      <c r="Q215" t="n">
        <v>75</v>
      </c>
      <c r="R215" t="n">
        <v>0.06370000000000001</v>
      </c>
      <c r="S215">
        <f>IMAGE("https://mitra.stanford.edu/kundaje/oak/projects/neuro-variants/variant_position/credible/roussos_2024/variant_figures/roussos_2024.adolescence.Astrocyte/rs11590802_count_position.png",4,220,900)</f>
        <v/>
      </c>
      <c r="T215">
        <f>IMAGE("https://mitra.stanford.edu/kundaje/oak/projects/neuro-variants/variant_position/credible/roussos_2024/variant_figures/roussos_2024.adolescence.Astrocyte/rs11590802_profile_position.png",4,220,900)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0.2245448011999999</v>
      </c>
      <c r="G216" t="n">
        <v>0.0137927047217872</v>
      </c>
      <c r="H216" t="n">
        <v>0.0304744669302639</v>
      </c>
      <c r="I216" t="n">
        <v>0.0325660670053366</v>
      </c>
      <c r="J216" t="n">
        <v>0.0164325134261044</v>
      </c>
      <c r="K216" t="n">
        <v>0.6038891396163051</v>
      </c>
      <c r="L216" t="b">
        <v>1</v>
      </c>
      <c r="M216" t="b">
        <v>0</v>
      </c>
      <c r="N216" t="inlineStr">
        <is>
          <t>alt</t>
        </is>
      </c>
      <c r="O216" t="n">
        <v>-55</v>
      </c>
      <c r="P216" t="n">
        <v>0.00222</v>
      </c>
      <c r="Q216" t="n">
        <v>95</v>
      </c>
      <c r="R216" t="n">
        <v>0.3286</v>
      </c>
      <c r="S216">
        <f>IMAGE("https://mitra.stanford.edu/kundaje/oak/projects/neuro-variants/variant_position/credible/roussos_2024/variant_figures/roussos_2024.adolescence.Astrocyte/rs4970723_count_position.png",4,220,900)</f>
        <v/>
      </c>
      <c r="T216">
        <f>IMAGE("https://mitra.stanford.edu/kundaje/oak/projects/neuro-variants/variant_position/credible/roussos_2024/variant_figures/roussos_2024.adolescence.Astrocyte/rs4970723_profile_position.png",4,220,900)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0.0221579446999999</v>
      </c>
      <c r="G217" t="n">
        <v>0.4860715973859285</v>
      </c>
      <c r="H217" t="n">
        <v>0.06604248324720161</v>
      </c>
      <c r="I217" t="n">
        <v>0.0013836085435196</v>
      </c>
      <c r="J217" t="n">
        <v>0.0124046820757795</v>
      </c>
      <c r="K217" t="n">
        <v>0.6305885761663024</v>
      </c>
      <c r="L217" t="b">
        <v>1</v>
      </c>
      <c r="M217" t="b">
        <v>0</v>
      </c>
      <c r="N217" t="inlineStr">
        <is>
          <t>alt</t>
        </is>
      </c>
      <c r="O217" t="n">
        <v>-60</v>
      </c>
      <c r="P217" t="n">
        <v>0.0404</v>
      </c>
      <c r="Q217" t="n">
        <v>-35</v>
      </c>
      <c r="R217" t="n">
        <v>0.04248</v>
      </c>
      <c r="S217">
        <f>IMAGE("https://mitra.stanford.edu/kundaje/oak/projects/neuro-variants/variant_position/credible/roussos_2024/variant_figures/roussos_2024.adolescence.Astrocyte/rs12044989_count_position.png",4,220,900)</f>
        <v/>
      </c>
      <c r="T217">
        <f>IMAGE("https://mitra.stanford.edu/kundaje/oak/projects/neuro-variants/variant_position/credible/roussos_2024/variant_figures/roussos_2024.adolescence.Astrocyte/rs12044989_profile_position.png",4,220,900)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-0.0601955656</v>
      </c>
      <c r="G218" t="n">
        <v>0.1994974527264647</v>
      </c>
      <c r="H218" t="n">
        <v>0.012165292089865</v>
      </c>
      <c r="I218" t="n">
        <v>0.5355669747887268</v>
      </c>
      <c r="J218" t="n">
        <v>0.06914814704922401</v>
      </c>
      <c r="K218" t="n">
        <v>0.4029133552036354</v>
      </c>
      <c r="L218" t="b">
        <v>0</v>
      </c>
      <c r="M218" t="b">
        <v>0</v>
      </c>
      <c r="N218" t="inlineStr">
        <is>
          <t>ref</t>
        </is>
      </c>
      <c r="O218" t="n">
        <v>-100</v>
      </c>
      <c r="P218" t="n">
        <v>0.03375</v>
      </c>
      <c r="Q218" t="n">
        <v>-100</v>
      </c>
      <c r="R218" t="n">
        <v>0.3638</v>
      </c>
      <c r="S218">
        <f>IMAGE("https://mitra.stanford.edu/kundaje/oak/projects/neuro-variants/variant_position/credible/roussos_2024/variant_figures/roussos_2024.adolescence.Astrocyte/rs56732321_count_position.png",4,220,900)</f>
        <v/>
      </c>
      <c r="T218">
        <f>IMAGE("https://mitra.stanford.edu/kundaje/oak/projects/neuro-variants/variant_position/credible/roussos_2024/variant_figures/roussos_2024.adolescence.Astrocyte/rs56732321_profile_position.png",4,220,900)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-0.264896916</v>
      </c>
      <c r="G219" t="n">
        <v>0.0110496972145666</v>
      </c>
      <c r="H219" t="n">
        <v>0.0329838260046105</v>
      </c>
      <c r="I219" t="n">
        <v>0.0244028054576938</v>
      </c>
      <c r="J219" t="n">
        <v>0.0453661395128029</v>
      </c>
      <c r="K219" t="n">
        <v>0.4592087771819281</v>
      </c>
      <c r="L219" t="b">
        <v>1</v>
      </c>
      <c r="M219" t="b">
        <v>0</v>
      </c>
      <c r="N219" t="inlineStr">
        <is>
          <t>ref</t>
        </is>
      </c>
      <c r="O219" t="n">
        <v>-100</v>
      </c>
      <c r="P219" t="n">
        <v>0.01778</v>
      </c>
      <c r="Q219" t="n">
        <v>75</v>
      </c>
      <c r="R219" t="n">
        <v>0.1698</v>
      </c>
      <c r="S219">
        <f>IMAGE("https://mitra.stanford.edu/kundaje/oak/projects/neuro-variants/variant_position/credible/roussos_2024/variant_figures/roussos_2024.adolescence.Astrocyte/rs11165939_count_position.png",4,220,900)</f>
        <v/>
      </c>
      <c r="T219">
        <f>IMAGE("https://mitra.stanford.edu/kundaje/oak/projects/neuro-variants/variant_position/credible/roussos_2024/variant_figures/roussos_2024.adolescence.Astrocyte/rs11165939_profile_position.png",4,220,900)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-0.0408060128</v>
      </c>
      <c r="G220" t="n">
        <v>0.2771091301176993</v>
      </c>
      <c r="H220" t="n">
        <v>0.0111806890738916</v>
      </c>
      <c r="I220" t="n">
        <v>0.6225100363970744</v>
      </c>
      <c r="J220" t="n">
        <v>0.0015221196926089</v>
      </c>
      <c r="K220" t="n">
        <v>0.8527570745782609</v>
      </c>
      <c r="L220" t="b">
        <v>0</v>
      </c>
      <c r="M220" t="b">
        <v>0</v>
      </c>
      <c r="N220" t="inlineStr">
        <is>
          <t>ref</t>
        </is>
      </c>
      <c r="O220" t="n">
        <v>100</v>
      </c>
      <c r="P220" t="n">
        <v>0.05566</v>
      </c>
      <c r="Q220" t="n">
        <v>95</v>
      </c>
      <c r="R220" t="n">
        <v>0.09357</v>
      </c>
      <c r="S220">
        <f>IMAGE("https://mitra.stanford.edu/kundaje/oak/projects/neuro-variants/variant_position/credible/roussos_2024/variant_figures/roussos_2024.adolescence.Astrocyte/rs12077962_count_position.png",4,220,900)</f>
        <v/>
      </c>
      <c r="T220">
        <f>IMAGE("https://mitra.stanford.edu/kundaje/oak/projects/neuro-variants/variant_position/credible/roussos_2024/variant_figures/roussos_2024.adolescence.Astrocyte/rs12077962_profile_position.png",4,220,900)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-0.008048359099999999</v>
      </c>
      <c r="G221" t="n">
        <v>0.7461015725188109</v>
      </c>
      <c r="H221" t="n">
        <v>0.0362472474211201</v>
      </c>
      <c r="I221" t="n">
        <v>0.0143736849325459</v>
      </c>
      <c r="J221" t="n">
        <v>0.1956554312672462</v>
      </c>
      <c r="K221" t="n">
        <v>0.2103778818725364</v>
      </c>
      <c r="L221" t="b">
        <v>1</v>
      </c>
      <c r="M221" t="b">
        <v>0</v>
      </c>
      <c r="N221" t="inlineStr">
        <is>
          <t>ref</t>
        </is>
      </c>
      <c r="O221" t="n">
        <v>-100</v>
      </c>
      <c r="P221" t="n">
        <v>0.08026</v>
      </c>
      <c r="Q221" t="n">
        <v>-100</v>
      </c>
      <c r="R221" t="n">
        <v>0.6840000000000001</v>
      </c>
      <c r="S221">
        <f>IMAGE("https://mitra.stanford.edu/kundaje/oak/projects/neuro-variants/variant_position/credible/roussos_2024/variant_figures/roussos_2024.adolescence.Astrocyte/rs1198572_count_position.png",4,220,900)</f>
        <v/>
      </c>
      <c r="T221">
        <f>IMAGE("https://mitra.stanford.edu/kundaje/oak/projects/neuro-variants/variant_position/credible/roussos_2024/variant_figures/roussos_2024.adolescence.Astrocyte/rs1198572_profile_position.png",4,220,900)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0.0150578857999999</v>
      </c>
      <c r="G222" t="n">
        <v>0.6283917126705778</v>
      </c>
      <c r="H222" t="n">
        <v>0.0178503451751365</v>
      </c>
      <c r="I222" t="n">
        <v>0.1964963297336331</v>
      </c>
      <c r="J222" t="n">
        <v>0.1281985283209209</v>
      </c>
      <c r="K222" t="n">
        <v>0.2791570488114448</v>
      </c>
      <c r="L222" t="b">
        <v>0</v>
      </c>
      <c r="M222" t="b">
        <v>0</v>
      </c>
      <c r="N222" t="inlineStr">
        <is>
          <t>alt</t>
        </is>
      </c>
      <c r="O222" t="n">
        <v>-100</v>
      </c>
      <c r="P222" t="n">
        <v>0.04263</v>
      </c>
      <c r="Q222" t="n">
        <v>-100</v>
      </c>
      <c r="R222" t="n">
        <v>0.08105</v>
      </c>
      <c r="S222">
        <f>IMAGE("https://mitra.stanford.edu/kundaje/oak/projects/neuro-variants/variant_position/credible/roussos_2024/variant_figures/roussos_2024.adolescence.Astrocyte/rs1702294_count_position.png",4,220,900)</f>
        <v/>
      </c>
      <c r="T222">
        <f>IMAGE("https://mitra.stanford.edu/kundaje/oak/projects/neuro-variants/variant_position/credible/roussos_2024/variant_figures/roussos_2024.adolescence.Astrocyte/rs1702294_profile_position.png",4,220,900)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0.18263717</v>
      </c>
      <c r="G223" t="n">
        <v>0.0226399634399767</v>
      </c>
      <c r="H223" t="n">
        <v>0.019507712474624</v>
      </c>
      <c r="I223" t="n">
        <v>0.1486025119361752</v>
      </c>
      <c r="J223" t="n">
        <v>0.0300781829510725</v>
      </c>
      <c r="K223" t="n">
        <v>0.5190085724905433</v>
      </c>
      <c r="L223" t="b">
        <v>0</v>
      </c>
      <c r="M223" t="b">
        <v>0</v>
      </c>
      <c r="N223" t="inlineStr">
        <is>
          <t>alt</t>
        </is>
      </c>
      <c r="O223" t="n">
        <v>50</v>
      </c>
      <c r="P223" t="n">
        <v>0.004112</v>
      </c>
      <c r="Q223" t="n">
        <v>50</v>
      </c>
      <c r="R223" t="n">
        <v>0.1035</v>
      </c>
      <c r="S223">
        <f>IMAGE("https://mitra.stanford.edu/kundaje/oak/projects/neuro-variants/variant_position/credible/roussos_2024/variant_figures/roussos_2024.adolescence.Astrocyte/rs1702291_count_position.png",4,220,900)</f>
        <v/>
      </c>
      <c r="T223">
        <f>IMAGE("https://mitra.stanford.edu/kundaje/oak/projects/neuro-variants/variant_position/credible/roussos_2024/variant_figures/roussos_2024.adolescence.Astrocyte/rs1702291_profile_position.png",4,220,900)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-0.0179281243999999</v>
      </c>
      <c r="G224" t="n">
        <v>0.2731543132727312</v>
      </c>
      <c r="H224" t="n">
        <v>0.0182790690857036</v>
      </c>
      <c r="I224" t="n">
        <v>0.1881764216451391</v>
      </c>
      <c r="J224" t="n">
        <v>0.0213920125804824</v>
      </c>
      <c r="K224" t="n">
        <v>0.57756559114036</v>
      </c>
      <c r="L224" t="b">
        <v>0</v>
      </c>
      <c r="M224" t="b">
        <v>0</v>
      </c>
      <c r="N224" t="inlineStr">
        <is>
          <t>ref</t>
        </is>
      </c>
      <c r="O224" t="n">
        <v>100</v>
      </c>
      <c r="P224" t="n">
        <v>0.01071</v>
      </c>
      <c r="Q224" t="n">
        <v>80</v>
      </c>
      <c r="R224" t="n">
        <v>0.074</v>
      </c>
      <c r="S224">
        <f>IMAGE("https://mitra.stanford.edu/kundaje/oak/projects/neuro-variants/variant_position/credible/roussos_2024/variant_figures/roussos_2024.adolescence.Astrocyte/rs11808051_count_position.png",4,220,900)</f>
        <v/>
      </c>
      <c r="T224">
        <f>IMAGE("https://mitra.stanford.edu/kundaje/oak/projects/neuro-variants/variant_position/credible/roussos_2024/variant_figures/roussos_2024.adolescence.Astrocyte/rs11808051_profile_position.png",4,220,900)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-0.0176415273</v>
      </c>
      <c r="G225" t="n">
        <v>0.541170026162931</v>
      </c>
      <c r="H225" t="n">
        <v>0.0209092007355488</v>
      </c>
      <c r="I225" t="n">
        <v>0.1180158480696296</v>
      </c>
      <c r="J225" t="n">
        <v>0.0017231403732605</v>
      </c>
      <c r="K225" t="n">
        <v>0.8403681353140159</v>
      </c>
      <c r="L225" t="b">
        <v>0</v>
      </c>
      <c r="M225" t="b">
        <v>0</v>
      </c>
      <c r="N225" t="inlineStr">
        <is>
          <t>ref</t>
        </is>
      </c>
      <c r="O225" t="n">
        <v>-65</v>
      </c>
      <c r="P225" t="n">
        <v>0.004883</v>
      </c>
      <c r="Q225" t="n">
        <v>-100</v>
      </c>
      <c r="R225" t="n">
        <v>0.1796</v>
      </c>
      <c r="S225">
        <f>IMAGE("https://mitra.stanford.edu/kundaje/oak/projects/neuro-variants/variant_position/credible/roussos_2024/variant_figures/roussos_2024.adolescence.Astrocyte/rs12027634_count_position.png",4,220,900)</f>
        <v/>
      </c>
      <c r="T225">
        <f>IMAGE("https://mitra.stanford.edu/kundaje/oak/projects/neuro-variants/variant_position/credible/roussos_2024/variant_figures/roussos_2024.adolescence.Astrocyte/rs12027634_profile_position.png",4,220,900)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0.0597454823999999</v>
      </c>
      <c r="G226" t="n">
        <v>0.2172158584519231</v>
      </c>
      <c r="H226" t="n">
        <v>0.0100717670411326</v>
      </c>
      <c r="I226" t="n">
        <v>0.6722820125178011</v>
      </c>
      <c r="J226" t="n">
        <v>0.1127266118743138</v>
      </c>
      <c r="K226" t="n">
        <v>0.3056915463876755</v>
      </c>
      <c r="L226" t="b">
        <v>0</v>
      </c>
      <c r="M226" t="b">
        <v>0</v>
      </c>
      <c r="N226" t="inlineStr">
        <is>
          <t>alt</t>
        </is>
      </c>
      <c r="O226" t="n">
        <v>100</v>
      </c>
      <c r="P226" t="n">
        <v>0.1797</v>
      </c>
      <c r="Q226" t="n">
        <v>-60</v>
      </c>
      <c r="R226" t="n">
        <v>0.0417</v>
      </c>
      <c r="S226">
        <f>IMAGE("https://mitra.stanford.edu/kundaje/oak/projects/neuro-variants/variant_position/credible/roussos_2024/variant_figures/roussos_2024.adolescence.Astrocyte/rs4950095_count_position.png",4,220,900)</f>
        <v/>
      </c>
      <c r="T226">
        <f>IMAGE("https://mitra.stanford.edu/kundaje/oak/projects/neuro-variants/variant_position/credible/roussos_2024/variant_figures/roussos_2024.adolescence.Astrocyte/rs4950095_profile_position.png",4,220,900)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0.0566821444</v>
      </c>
      <c r="G227" t="n">
        <v>0.2026339813069913</v>
      </c>
      <c r="H227" t="n">
        <v>0.0192474752555912</v>
      </c>
      <c r="I227" t="n">
        <v>0.1594985757157854</v>
      </c>
      <c r="J227" t="n">
        <v>0.0056716019345458</v>
      </c>
      <c r="K227" t="n">
        <v>0.736185128813751</v>
      </c>
      <c r="L227" t="b">
        <v>0</v>
      </c>
      <c r="M227" t="b">
        <v>0</v>
      </c>
      <c r="N227" t="inlineStr">
        <is>
          <t>alt</t>
        </is>
      </c>
      <c r="O227" t="n">
        <v>100</v>
      </c>
      <c r="P227" t="n">
        <v>0.006607</v>
      </c>
      <c r="Q227" t="n">
        <v>40</v>
      </c>
      <c r="R227" t="n">
        <v>0.07306</v>
      </c>
      <c r="S227">
        <f>IMAGE("https://mitra.stanford.edu/kundaje/oak/projects/neuro-variants/variant_position/credible/roussos_2024/variant_figures/roussos_2024.adolescence.Astrocyte/rs12567725_count_position.png",4,220,900)</f>
        <v/>
      </c>
      <c r="T227">
        <f>IMAGE("https://mitra.stanford.edu/kundaje/oak/projects/neuro-variants/variant_position/credible/roussos_2024/variant_figures/roussos_2024.adolescence.Astrocyte/rs12567725_profile_position.png",4,220,900)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-0.0040082236</v>
      </c>
      <c r="G228" t="n">
        <v>0.7517690958165737</v>
      </c>
      <c r="H228" t="n">
        <v>0.0334295259504239</v>
      </c>
      <c r="I228" t="n">
        <v>0.020513767437219</v>
      </c>
      <c r="J228" t="n">
        <v>0.0016875352342521</v>
      </c>
      <c r="K228" t="n">
        <v>0.8484918517590321</v>
      </c>
      <c r="L228" t="b">
        <v>0</v>
      </c>
      <c r="M228" t="b">
        <v>0</v>
      </c>
      <c r="N228" t="inlineStr">
        <is>
          <t>ref</t>
        </is>
      </c>
      <c r="O228" t="n">
        <v>-65</v>
      </c>
      <c r="P228" t="n">
        <v>0.01361</v>
      </c>
      <c r="Q228" t="n">
        <v>-85</v>
      </c>
      <c r="R228" t="n">
        <v>0.0742</v>
      </c>
      <c r="S228">
        <f>IMAGE("https://mitra.stanford.edu/kundaje/oak/projects/neuro-variants/variant_position/credible/roussos_2024/variant_figures/roussos_2024.adolescence.Astrocyte/rs2046585_count_position.png",4,220,900)</f>
        <v/>
      </c>
      <c r="T228">
        <f>IMAGE("https://mitra.stanford.edu/kundaje/oak/projects/neuro-variants/variant_position/credible/roussos_2024/variant_figures/roussos_2024.adolescence.Astrocyte/rs2046585_profile_position.png",4,220,900)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0.24831512</v>
      </c>
      <c r="G229" t="n">
        <v>0.0120380704745209</v>
      </c>
      <c r="H229" t="n">
        <v>0.0266107205218373</v>
      </c>
      <c r="I229" t="n">
        <v>0.0531843744371605</v>
      </c>
      <c r="J229" t="n">
        <v>0.0483658724742604</v>
      </c>
      <c r="K229" t="n">
        <v>0.4465292194824067</v>
      </c>
      <c r="L229" t="b">
        <v>1</v>
      </c>
      <c r="M229" t="b">
        <v>0</v>
      </c>
      <c r="N229" t="inlineStr">
        <is>
          <t>alt</t>
        </is>
      </c>
      <c r="O229" t="n">
        <v>-30</v>
      </c>
      <c r="P229" t="n">
        <v>0.012375</v>
      </c>
      <c r="Q229" t="n">
        <v>-15</v>
      </c>
      <c r="R229" t="n">
        <v>0.0271</v>
      </c>
      <c r="S229">
        <f>IMAGE("https://mitra.stanford.edu/kundaje/oak/projects/neuro-variants/variant_position/credible/roussos_2024/variant_figures/roussos_2024.adolescence.Astrocyte/rs77509205_count_position.png",4,220,900)</f>
        <v/>
      </c>
      <c r="T229">
        <f>IMAGE("https://mitra.stanford.edu/kundaje/oak/projects/neuro-variants/variant_position/credible/roussos_2024/variant_figures/roussos_2024.adolescence.Astrocyte/rs77509205_profile_position.png",4,220,900)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-0.1155754784</v>
      </c>
      <c r="G230" t="n">
        <v>0.06451469281656499</v>
      </c>
      <c r="H230" t="n">
        <v>0.0177130859046375</v>
      </c>
      <c r="I230" t="n">
        <v>0.2013814646286907</v>
      </c>
      <c r="J230" t="n">
        <v>0.0244258671334895</v>
      </c>
      <c r="K230" t="n">
        <v>0.5681997432049951</v>
      </c>
      <c r="L230" t="b">
        <v>0</v>
      </c>
      <c r="M230" t="b">
        <v>0</v>
      </c>
      <c r="N230" t="inlineStr">
        <is>
          <t>ref</t>
        </is>
      </c>
      <c r="O230" t="n">
        <v>-35</v>
      </c>
      <c r="P230" t="n">
        <v>0.003967</v>
      </c>
      <c r="Q230" t="n">
        <v>-90</v>
      </c>
      <c r="R230" t="n">
        <v>0.1252</v>
      </c>
      <c r="S230">
        <f>IMAGE("https://mitra.stanford.edu/kundaje/oak/projects/neuro-variants/variant_position/credible/roussos_2024/variant_figures/roussos_2024.adolescence.Astrocyte/rs6537851_count_position.png",4,220,900)</f>
        <v/>
      </c>
      <c r="T230">
        <f>IMAGE("https://mitra.stanford.edu/kundaje/oak/projects/neuro-variants/variant_position/credible/roussos_2024/variant_figures/roussos_2024.adolescence.Astrocyte/rs6537851_profile_position.png",4,220,900)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-0.09214537</v>
      </c>
      <c r="G231" t="n">
        <v>0.09267649712336259</v>
      </c>
      <c r="H231" t="n">
        <v>0.0147894575383516</v>
      </c>
      <c r="I231" t="n">
        <v>0.3341111211116918</v>
      </c>
      <c r="J231" t="n">
        <v>0.2431623297629291</v>
      </c>
      <c r="K231" t="n">
        <v>0.1702653095278551</v>
      </c>
      <c r="L231" t="b">
        <v>0</v>
      </c>
      <c r="M231" t="b">
        <v>0</v>
      </c>
      <c r="N231" t="inlineStr">
        <is>
          <t>ref</t>
        </is>
      </c>
      <c r="O231" t="n">
        <v>95</v>
      </c>
      <c r="P231" t="n">
        <v>0.004776</v>
      </c>
      <c r="Q231" t="n">
        <v>-55</v>
      </c>
      <c r="R231" t="n">
        <v>0.0926</v>
      </c>
      <c r="S231">
        <f>IMAGE("https://mitra.stanford.edu/kundaje/oak/projects/neuro-variants/variant_position/credible/roussos_2024/variant_figures/roussos_2024.adolescence.Astrocyte/rs11102896_count_position.png",4,220,900)</f>
        <v/>
      </c>
      <c r="T231">
        <f>IMAGE("https://mitra.stanford.edu/kundaje/oak/projects/neuro-variants/variant_position/credible/roussos_2024/variant_figures/roussos_2024.adolescence.Astrocyte/rs11102896_profile_position.png",4,220,900)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-0.0434076426</v>
      </c>
      <c r="G232" t="n">
        <v>0.2643450409130801</v>
      </c>
      <c r="H232" t="n">
        <v>0.012495372966363</v>
      </c>
      <c r="I232" t="n">
        <v>0.5061422072807773</v>
      </c>
      <c r="J232" t="n">
        <v>0.0216709195027148</v>
      </c>
      <c r="K232" t="n">
        <v>0.5634786498951216</v>
      </c>
      <c r="L232" t="b">
        <v>0</v>
      </c>
      <c r="M232" t="b">
        <v>0</v>
      </c>
      <c r="N232" t="inlineStr">
        <is>
          <t>ref</t>
        </is>
      </c>
      <c r="O232" t="n">
        <v>100</v>
      </c>
      <c r="P232" t="n">
        <v>0.04507</v>
      </c>
      <c r="Q232" t="n">
        <v>100</v>
      </c>
      <c r="R232" t="n">
        <v>0.154</v>
      </c>
      <c r="S232">
        <f>IMAGE("https://mitra.stanford.edu/kundaje/oak/projects/neuro-variants/variant_position/credible/roussos_2024/variant_figures/roussos_2024.adolescence.Astrocyte/rs2223926_count_position.png",4,220,900)</f>
        <v/>
      </c>
      <c r="T232">
        <f>IMAGE("https://mitra.stanford.edu/kundaje/oak/projects/neuro-variants/variant_position/credible/roussos_2024/variant_figures/roussos_2024.adolescence.Astrocyte/rs2223926_profile_position.png",4,220,900)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0.0034099398</v>
      </c>
      <c r="G233" t="n">
        <v>0.5017892477089221</v>
      </c>
      <c r="H233" t="n">
        <v>0.0297546904804045</v>
      </c>
      <c r="I233" t="n">
        <v>0.0323879418138896</v>
      </c>
      <c r="J233" t="n">
        <v>0.0287051597780612</v>
      </c>
      <c r="K233" t="n">
        <v>0.5185184430424904</v>
      </c>
      <c r="L233" t="b">
        <v>0</v>
      </c>
      <c r="M233" t="b">
        <v>0</v>
      </c>
      <c r="N233" t="inlineStr">
        <is>
          <t>alt</t>
        </is>
      </c>
      <c r="O233" t="n">
        <v>-95</v>
      </c>
      <c r="P233" t="n">
        <v>0.006317</v>
      </c>
      <c r="Q233" t="n">
        <v>-100</v>
      </c>
      <c r="R233" t="n">
        <v>0.1171</v>
      </c>
      <c r="S233">
        <f>IMAGE("https://mitra.stanford.edu/kundaje/oak/projects/neuro-variants/variant_position/credible/roussos_2024/variant_figures/roussos_2024.adolescence.Astrocyte/rs12745199_count_position.png",4,220,900)</f>
        <v/>
      </c>
      <c r="T233">
        <f>IMAGE("https://mitra.stanford.edu/kundaje/oak/projects/neuro-variants/variant_position/credible/roussos_2024/variant_figures/roussos_2024.adolescence.Astrocyte/rs12745199_profile_position.png",4,220,900)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0.0333149291999999</v>
      </c>
      <c r="G234" t="n">
        <v>0.3764286938842822</v>
      </c>
      <c r="H234" t="n">
        <v>0.0276606460935631</v>
      </c>
      <c r="I234" t="n">
        <v>0.0442104383932414</v>
      </c>
      <c r="J234" t="n">
        <v>0.0039321425392397</v>
      </c>
      <c r="K234" t="n">
        <v>0.7675161553661783</v>
      </c>
      <c r="L234" t="b">
        <v>0</v>
      </c>
      <c r="M234" t="b">
        <v>0</v>
      </c>
      <c r="N234" t="inlineStr">
        <is>
          <t>alt</t>
        </is>
      </c>
      <c r="O234" t="n">
        <v>25</v>
      </c>
      <c r="P234" t="n">
        <v>0.007202</v>
      </c>
      <c r="Q234" t="n">
        <v>25</v>
      </c>
      <c r="R234" t="n">
        <v>0.03726</v>
      </c>
      <c r="S234">
        <f>IMAGE("https://mitra.stanford.edu/kundaje/oak/projects/neuro-variants/variant_position/credible/roussos_2024/variant_figures/roussos_2024.adolescence.Astrocyte/rs6687454_count_position.png",4,220,900)</f>
        <v/>
      </c>
      <c r="T234">
        <f>IMAGE("https://mitra.stanford.edu/kundaje/oak/projects/neuro-variants/variant_position/credible/roussos_2024/variant_figures/roussos_2024.adolescence.Astrocyte/rs6687454_profile_position.png",4,220,900)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-0.2266151953999999</v>
      </c>
      <c r="G235" t="n">
        <v>0.0213160964404471</v>
      </c>
      <c r="H235" t="n">
        <v>0.037183251915401</v>
      </c>
      <c r="I235" t="n">
        <v>0.017934188135829</v>
      </c>
      <c r="J235" t="n">
        <v>0.0149148443758715</v>
      </c>
      <c r="K235" t="n">
        <v>0.6155980128265476</v>
      </c>
      <c r="L235" t="b">
        <v>1</v>
      </c>
      <c r="M235" t="b">
        <v>0</v>
      </c>
      <c r="N235" t="inlineStr">
        <is>
          <t>ref</t>
        </is>
      </c>
      <c r="O235" t="n">
        <v>75</v>
      </c>
      <c r="P235" t="n">
        <v>0.02402</v>
      </c>
      <c r="Q235" t="n">
        <v>70</v>
      </c>
      <c r="R235" t="n">
        <v>0.07983</v>
      </c>
      <c r="S235">
        <f>IMAGE("https://mitra.stanford.edu/kundaje/oak/projects/neuro-variants/variant_position/credible/roussos_2024/variant_figures/roussos_2024.adolescence.Astrocyte/rs77391665_count_position.png",4,220,900)</f>
        <v/>
      </c>
      <c r="T235">
        <f>IMAGE("https://mitra.stanford.edu/kundaje/oak/projects/neuro-variants/variant_position/credible/roussos_2024/variant_figures/roussos_2024.adolescence.Astrocyte/rs77391665_profile_position.png",4,220,900)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-0.0008022862</v>
      </c>
      <c r="G236" t="n">
        <v>0.8719370757479086</v>
      </c>
      <c r="H236" t="n">
        <v>0.0265150755444753</v>
      </c>
      <c r="I236" t="n">
        <v>0.0503305971179768</v>
      </c>
      <c r="J236" t="n">
        <v>0.001387858647598</v>
      </c>
      <c r="K236" t="n">
        <v>0.848054641073737</v>
      </c>
      <c r="L236" t="b">
        <v>0</v>
      </c>
      <c r="M236" t="b">
        <v>0</v>
      </c>
      <c r="N236" t="inlineStr">
        <is>
          <t>ref</t>
        </is>
      </c>
      <c r="O236" t="n">
        <v>-20</v>
      </c>
      <c r="P236" t="n">
        <v>0.00293</v>
      </c>
      <c r="Q236" t="n">
        <v>-20</v>
      </c>
      <c r="R236" t="n">
        <v>0.0246</v>
      </c>
      <c r="S236">
        <f>IMAGE("https://mitra.stanford.edu/kundaje/oak/projects/neuro-variants/variant_position/credible/roussos_2024/variant_figures/roussos_2024.adolescence.Astrocyte/rs12063059_count_position.png",4,220,900)</f>
        <v/>
      </c>
      <c r="T236">
        <f>IMAGE("https://mitra.stanford.edu/kundaje/oak/projects/neuro-variants/variant_position/credible/roussos_2024/variant_figures/roussos_2024.adolescence.Astrocyte/rs12063059_profile_position.png",4,220,900)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0.0713059878</v>
      </c>
      <c r="G237" t="n">
        <v>0.1465331800029558</v>
      </c>
      <c r="H237" t="n">
        <v>0.0158771137912502</v>
      </c>
      <c r="I237" t="n">
        <v>0.2789067118742462</v>
      </c>
      <c r="J237" t="n">
        <v>0.0023284277364032</v>
      </c>
      <c r="K237" t="n">
        <v>0.8164034436362575</v>
      </c>
      <c r="L237" t="b">
        <v>0</v>
      </c>
      <c r="M237" t="b">
        <v>0</v>
      </c>
      <c r="N237" t="inlineStr">
        <is>
          <t>alt</t>
        </is>
      </c>
      <c r="O237" t="n">
        <v>-100</v>
      </c>
      <c r="P237" t="n">
        <v>0.03928</v>
      </c>
      <c r="Q237" t="n">
        <v>60</v>
      </c>
      <c r="R237" t="n">
        <v>0.0791</v>
      </c>
      <c r="S237">
        <f>IMAGE("https://mitra.stanford.edu/kundaje/oak/projects/neuro-variants/variant_position/credible/roussos_2024/variant_figures/roussos_2024.adolescence.Astrocyte/rs72692865_count_position.png",4,220,900)</f>
        <v/>
      </c>
      <c r="T237">
        <f>IMAGE("https://mitra.stanford.edu/kundaje/oak/projects/neuro-variants/variant_position/credible/roussos_2024/variant_figures/roussos_2024.adolescence.Astrocyte/rs72692865_profile_position.png",4,220,900)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-0.00440919262</v>
      </c>
      <c r="G238" t="n">
        <v>0.8505123729980244</v>
      </c>
      <c r="H238" t="n">
        <v>0.0356864169682142</v>
      </c>
      <c r="I238" t="n">
        <v>0.0155792638216341</v>
      </c>
      <c r="J238" t="n">
        <v>0.0009821084176482001</v>
      </c>
      <c r="K238" t="n">
        <v>0.8776807951230838</v>
      </c>
      <c r="L238" t="b">
        <v>0</v>
      </c>
      <c r="M238" t="b">
        <v>0</v>
      </c>
      <c r="N238" t="inlineStr">
        <is>
          <t>ref</t>
        </is>
      </c>
      <c r="O238" t="n">
        <v>-95</v>
      </c>
      <c r="P238" t="n">
        <v>0.1421</v>
      </c>
      <c r="Q238" t="n">
        <v>-45</v>
      </c>
      <c r="R238" t="n">
        <v>0.11084</v>
      </c>
      <c r="S238">
        <f>IMAGE("https://mitra.stanford.edu/kundaje/oak/projects/neuro-variants/variant_position/credible/roussos_2024/variant_figures/roussos_2024.adolescence.Astrocyte/rs72692866_count_position.png",4,220,900)</f>
        <v/>
      </c>
      <c r="T238">
        <f>IMAGE("https://mitra.stanford.edu/kundaje/oak/projects/neuro-variants/variant_position/credible/roussos_2024/variant_figures/roussos_2024.adolescence.Astrocyte/rs72692866_profile_position.png",4,220,900)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0.003331871</v>
      </c>
      <c r="G239" t="n">
        <v>0.4318134983076623</v>
      </c>
      <c r="H239" t="n">
        <v>0.0485770367977462</v>
      </c>
      <c r="I239" t="n">
        <v>0.0043352189856271</v>
      </c>
      <c r="J239" t="n">
        <v>0.0054423938521793</v>
      </c>
      <c r="K239" t="n">
        <v>0.732232309590067</v>
      </c>
      <c r="L239" t="b">
        <v>0</v>
      </c>
      <c r="M239" t="b">
        <v>0</v>
      </c>
      <c r="N239" t="inlineStr">
        <is>
          <t>alt</t>
        </is>
      </c>
      <c r="O239" t="n">
        <v>-80</v>
      </c>
      <c r="P239" t="n">
        <v>0.01872</v>
      </c>
      <c r="Q239" t="n">
        <v>25</v>
      </c>
      <c r="R239" t="n">
        <v>0.04282</v>
      </c>
      <c r="S239">
        <f>IMAGE("https://mitra.stanford.edu/kundaje/oak/projects/neuro-variants/variant_position/credible/roussos_2024/variant_figures/roussos_2024.adolescence.Astrocyte/rs72692870_count_position.png",4,220,900)</f>
        <v/>
      </c>
      <c r="T239">
        <f>IMAGE("https://mitra.stanford.edu/kundaje/oak/projects/neuro-variants/variant_position/credible/roussos_2024/variant_figures/roussos_2024.adolescence.Astrocyte/rs72692870_profile_position.png",4,220,900)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0.0357141582</v>
      </c>
      <c r="G240" t="n">
        <v>0.3382647467594127</v>
      </c>
      <c r="H240" t="n">
        <v>0.035553349582813</v>
      </c>
      <c r="I240" t="n">
        <v>0.0157224965790616</v>
      </c>
      <c r="J240" t="n">
        <v>0.0007744117734326</v>
      </c>
      <c r="K240" t="n">
        <v>0.8905182052584244</v>
      </c>
      <c r="L240" t="b">
        <v>0</v>
      </c>
      <c r="M240" t="b">
        <v>0</v>
      </c>
      <c r="N240" t="inlineStr">
        <is>
          <t>alt</t>
        </is>
      </c>
      <c r="O240" t="n">
        <v>-100</v>
      </c>
      <c r="P240" t="n">
        <v>0.02289</v>
      </c>
      <c r="Q240" t="n">
        <v>-60</v>
      </c>
      <c r="R240" t="n">
        <v>0.05267</v>
      </c>
      <c r="S240">
        <f>IMAGE("https://mitra.stanford.edu/kundaje/oak/projects/neuro-variants/variant_position/credible/roussos_2024/variant_figures/roussos_2024.adolescence.Astrocyte/rs12074281_count_position.png",4,220,900)</f>
        <v/>
      </c>
      <c r="T240">
        <f>IMAGE("https://mitra.stanford.edu/kundaje/oak/projects/neuro-variants/variant_position/credible/roussos_2024/variant_figures/roussos_2024.adolescence.Astrocyte/rs12074281_profile_position.png",4,220,900)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-0.06252810119999989</v>
      </c>
      <c r="G241" t="n">
        <v>0.1760389647300499</v>
      </c>
      <c r="H241" t="n">
        <v>0.0113527647545911</v>
      </c>
      <c r="I241" t="n">
        <v>0.6161408723127797</v>
      </c>
      <c r="J241" t="n">
        <v>0.0206250185443431</v>
      </c>
      <c r="K241" t="n">
        <v>0.5795389571419117</v>
      </c>
      <c r="L241" t="b">
        <v>0</v>
      </c>
      <c r="M241" t="b">
        <v>0</v>
      </c>
      <c r="N241" t="inlineStr">
        <is>
          <t>ref</t>
        </is>
      </c>
      <c r="O241" t="n">
        <v>-100</v>
      </c>
      <c r="P241" t="n">
        <v>0.03473</v>
      </c>
      <c r="Q241" t="n">
        <v>-100</v>
      </c>
      <c r="R241" t="n">
        <v>0.1395</v>
      </c>
      <c r="S241">
        <f>IMAGE("https://mitra.stanford.edu/kundaje/oak/projects/neuro-variants/variant_position/credible/roussos_2024/variant_figures/roussos_2024.adolescence.Astrocyte/rs56212907_count_position.png",4,220,900)</f>
        <v/>
      </c>
      <c r="T241">
        <f>IMAGE("https://mitra.stanford.edu/kundaje/oak/projects/neuro-variants/variant_position/credible/roussos_2024/variant_figures/roussos_2024.adolescence.Astrocyte/rs56212907_profile_position.png",4,220,900)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0.0033639368999999</v>
      </c>
      <c r="G242" t="n">
        <v>0.6732719559408652</v>
      </c>
      <c r="H242" t="n">
        <v>0.0400330185576455</v>
      </c>
      <c r="I242" t="n">
        <v>0.009639578701538601</v>
      </c>
      <c r="J242" t="n">
        <v>0.0014657448891789</v>
      </c>
      <c r="K242" t="n">
        <v>0.8551158778098674</v>
      </c>
      <c r="L242" t="b">
        <v>0</v>
      </c>
      <c r="M242" t="b">
        <v>0</v>
      </c>
      <c r="N242" t="inlineStr">
        <is>
          <t>alt</t>
        </is>
      </c>
      <c r="O242" t="n">
        <v>-75</v>
      </c>
      <c r="P242" t="n">
        <v>0.01046</v>
      </c>
      <c r="Q242" t="n">
        <v>75</v>
      </c>
      <c r="R242" t="n">
        <v>0.04224</v>
      </c>
      <c r="S242">
        <f>IMAGE("https://mitra.stanford.edu/kundaje/oak/projects/neuro-variants/variant_position/credible/roussos_2024/variant_figures/roussos_2024.adolescence.Astrocyte/rs72694905_count_position.png",4,220,900)</f>
        <v/>
      </c>
      <c r="T242">
        <f>IMAGE("https://mitra.stanford.edu/kundaje/oak/projects/neuro-variants/variant_position/credible/roussos_2024/variant_figures/roussos_2024.adolescence.Astrocyte/rs72694905_profile_position.png",4,220,900)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0.159474456</v>
      </c>
      <c r="G243" t="n">
        <v>0.0315045486222271</v>
      </c>
      <c r="H243" t="n">
        <v>0.0285493341422053</v>
      </c>
      <c r="I243" t="n">
        <v>0.0382195665060734</v>
      </c>
      <c r="J243" t="n">
        <v>0.056729371272587</v>
      </c>
      <c r="K243" t="n">
        <v>0.4164382860322149</v>
      </c>
      <c r="L243" t="b">
        <v>0</v>
      </c>
      <c r="M243" t="b">
        <v>0</v>
      </c>
      <c r="N243" t="inlineStr">
        <is>
          <t>alt</t>
        </is>
      </c>
      <c r="O243" t="n">
        <v>90</v>
      </c>
      <c r="P243" t="n">
        <v>0.006077</v>
      </c>
      <c r="Q243" t="n">
        <v>-75</v>
      </c>
      <c r="R243" t="n">
        <v>0.03418</v>
      </c>
      <c r="S243">
        <f>IMAGE("https://mitra.stanford.edu/kundaje/oak/projects/neuro-variants/variant_position/credible/roussos_2024/variant_figures/roussos_2024.adolescence.Astrocyte/rs72694928_count_position.png",4,220,900)</f>
        <v/>
      </c>
      <c r="T243">
        <f>IMAGE("https://mitra.stanford.edu/kundaje/oak/projects/neuro-variants/variant_position/credible/roussos_2024/variant_figures/roussos_2024.adolescence.Astrocyte/rs72694928_profile_position.png",4,220,900)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-0.0017623662</v>
      </c>
      <c r="G244" t="n">
        <v>0.884631959367573</v>
      </c>
      <c r="H244" t="n">
        <v>0.0267222582177281</v>
      </c>
      <c r="I244" t="n">
        <v>0.0490507904159868</v>
      </c>
      <c r="J244" t="n">
        <v>0.0025887903154021</v>
      </c>
      <c r="K244" t="n">
        <v>0.7998500014545702</v>
      </c>
      <c r="L244" t="b">
        <v>0</v>
      </c>
      <c r="M244" t="b">
        <v>0</v>
      </c>
      <c r="N244" t="inlineStr">
        <is>
          <t>ref</t>
        </is>
      </c>
      <c r="O244" t="n">
        <v>55</v>
      </c>
      <c r="P244" t="n">
        <v>0.00627</v>
      </c>
      <c r="Q244" t="n">
        <v>-20</v>
      </c>
      <c r="R244" t="n">
        <v>0.02759</v>
      </c>
      <c r="S244">
        <f>IMAGE("https://mitra.stanford.edu/kundaje/oak/projects/neuro-variants/variant_position/credible/roussos_2024/variant_figures/roussos_2024.adolescence.Astrocyte/rs56369603_count_position.png",4,220,900)</f>
        <v/>
      </c>
      <c r="T244">
        <f>IMAGE("https://mitra.stanford.edu/kundaje/oak/projects/neuro-variants/variant_position/credible/roussos_2024/variant_figures/roussos_2024.adolescence.Astrocyte/rs56369603_profile_position.png",4,220,900)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-0.0374153884</v>
      </c>
      <c r="G245" t="n">
        <v>0.3614548841595407</v>
      </c>
      <c r="H245" t="n">
        <v>0.0103145331377459</v>
      </c>
      <c r="I245" t="n">
        <v>0.7004934719937163</v>
      </c>
      <c r="J245" t="n">
        <v>0.0025813725781087</v>
      </c>
      <c r="K245" t="n">
        <v>0.800238710402886</v>
      </c>
      <c r="L245" t="b">
        <v>0</v>
      </c>
      <c r="M245" t="b">
        <v>0</v>
      </c>
      <c r="N245" t="inlineStr">
        <is>
          <t>ref</t>
        </is>
      </c>
      <c r="O245" t="n">
        <v>100</v>
      </c>
      <c r="P245" t="n">
        <v>0.01889</v>
      </c>
      <c r="Q245" t="n">
        <v>5</v>
      </c>
      <c r="R245" t="n">
        <v>0.005745</v>
      </c>
      <c r="S245">
        <f>IMAGE("https://mitra.stanford.edu/kundaje/oak/projects/neuro-variants/variant_position/credible/roussos_2024/variant_figures/roussos_2024.adolescence.Astrocyte/rs72694944_count_position.png",4,220,900)</f>
        <v/>
      </c>
      <c r="T245">
        <f>IMAGE("https://mitra.stanford.edu/kundaje/oak/projects/neuro-variants/variant_position/credible/roussos_2024/variant_figures/roussos_2024.adolescence.Astrocyte/rs72694944_profile_position.png",4,220,900)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0.01357637512</v>
      </c>
      <c r="G246" t="n">
        <v>0.6255119461824468</v>
      </c>
      <c r="H246" t="n">
        <v>0.0280926667828231</v>
      </c>
      <c r="I246" t="n">
        <v>0.040467291769388</v>
      </c>
      <c r="J246" t="n">
        <v>0.0010866985134854</v>
      </c>
      <c r="K246" t="n">
        <v>0.8732706562211842</v>
      </c>
      <c r="L246" t="b">
        <v>0</v>
      </c>
      <c r="M246" t="b">
        <v>0</v>
      </c>
      <c r="N246" t="inlineStr">
        <is>
          <t>alt</t>
        </is>
      </c>
      <c r="O246" t="n">
        <v>95</v>
      </c>
      <c r="P246" t="n">
        <v>0.00705</v>
      </c>
      <c r="Q246" t="n">
        <v>100</v>
      </c>
      <c r="R246" t="n">
        <v>0.1404</v>
      </c>
      <c r="S246">
        <f>IMAGE("https://mitra.stanford.edu/kundaje/oak/projects/neuro-variants/variant_position/credible/roussos_2024/variant_figures/roussos_2024.adolescence.Astrocyte/rs72694960_count_position.png",4,220,900)</f>
        <v/>
      </c>
      <c r="T246">
        <f>IMAGE("https://mitra.stanford.edu/kundaje/oak/projects/neuro-variants/variant_position/credible/roussos_2024/variant_figures/roussos_2024.adolescence.Astrocyte/rs72694960_profile_position.png",4,220,900)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0.004055375846</v>
      </c>
      <c r="G247" t="n">
        <v>0.8373397013586761</v>
      </c>
      <c r="H247" t="n">
        <v>0.0251638048016162</v>
      </c>
      <c r="I247" t="n">
        <v>0.061488671772142</v>
      </c>
      <c r="J247" t="n">
        <v>0.0172069251995371</v>
      </c>
      <c r="K247" t="n">
        <v>0.606907973523061</v>
      </c>
      <c r="L247" t="b">
        <v>0</v>
      </c>
      <c r="M247" t="b">
        <v>0</v>
      </c>
      <c r="N247" t="inlineStr">
        <is>
          <t>alt</t>
        </is>
      </c>
      <c r="O247" t="n">
        <v>95</v>
      </c>
      <c r="P247" t="n">
        <v>0.01306</v>
      </c>
      <c r="Q247" t="n">
        <v>95</v>
      </c>
      <c r="R247" t="n">
        <v>0.295</v>
      </c>
      <c r="S247">
        <f>IMAGE("https://mitra.stanford.edu/kundaje/oak/projects/neuro-variants/variant_position/credible/roussos_2024/variant_figures/roussos_2024.adolescence.Astrocyte/rs11204824_count_position.png",4,220,900)</f>
        <v/>
      </c>
      <c r="T247">
        <f>IMAGE("https://mitra.stanford.edu/kundaje/oak/projects/neuro-variants/variant_position/credible/roussos_2024/variant_figures/roussos_2024.adolescence.Astrocyte/rs11204824_profile_position.png",4,220,900)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0.0034904294</v>
      </c>
      <c r="G248" t="n">
        <v>0.413237520702343</v>
      </c>
      <c r="H248" t="n">
        <v>0.0143548387984841</v>
      </c>
      <c r="I248" t="n">
        <v>0.3660600988108235</v>
      </c>
      <c r="J248" t="n">
        <v>0.3285590303533809</v>
      </c>
      <c r="K248" t="n">
        <v>0.1191748705074777</v>
      </c>
      <c r="L248" t="b">
        <v>0</v>
      </c>
      <c r="M248" t="b">
        <v>0</v>
      </c>
      <c r="N248" t="inlineStr">
        <is>
          <t>alt</t>
        </is>
      </c>
      <c r="O248" t="n">
        <v>20</v>
      </c>
      <c r="P248" t="n">
        <v>0.004623</v>
      </c>
      <c r="Q248" t="n">
        <v>95</v>
      </c>
      <c r="R248" t="n">
        <v>0.313</v>
      </c>
      <c r="S248">
        <f>IMAGE("https://mitra.stanford.edu/kundaje/oak/projects/neuro-variants/variant_position/credible/roussos_2024/variant_figures/roussos_2024.adolescence.Astrocyte/rs10888415_count_position.png",4,220,900)</f>
        <v/>
      </c>
      <c r="T248">
        <f>IMAGE("https://mitra.stanford.edu/kundaje/oak/projects/neuro-variants/variant_position/credible/roussos_2024/variant_figures/roussos_2024.adolescence.Astrocyte/rs10888415_profile_position.png",4,220,900)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0.0289865445999999</v>
      </c>
      <c r="G249" t="n">
        <v>0.4084524603107807</v>
      </c>
      <c r="H249" t="n">
        <v>0.0540877564750268</v>
      </c>
      <c r="I249" t="n">
        <v>0.0029798596849964</v>
      </c>
      <c r="J249" t="n">
        <v>0.0288216182535679</v>
      </c>
      <c r="K249" t="n">
        <v>0.517383380401371</v>
      </c>
      <c r="L249" t="b">
        <v>1</v>
      </c>
      <c r="M249" t="b">
        <v>0</v>
      </c>
      <c r="N249" t="inlineStr">
        <is>
          <t>alt</t>
        </is>
      </c>
      <c r="O249" t="n">
        <v>100</v>
      </c>
      <c r="P249" t="n">
        <v>0.00903</v>
      </c>
      <c r="Q249" t="n">
        <v>55</v>
      </c>
      <c r="R249" t="n">
        <v>0.0731</v>
      </c>
      <c r="S249">
        <f>IMAGE("https://mitra.stanford.edu/kundaje/oak/projects/neuro-variants/variant_position/credible/roussos_2024/variant_figures/roussos_2024.adolescence.Astrocyte/rs58479084_count_position.png",4,220,900)</f>
        <v/>
      </c>
      <c r="T249">
        <f>IMAGE("https://mitra.stanford.edu/kundaje/oak/projects/neuro-variants/variant_position/credible/roussos_2024/variant_figures/roussos_2024.adolescence.Astrocyte/rs58479084_profile_position.png",4,220,900)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-0.0393736714</v>
      </c>
      <c r="G250" t="n">
        <v>0.3290648857980018</v>
      </c>
      <c r="H250" t="n">
        <v>0.0573360173259867</v>
      </c>
      <c r="I250" t="n">
        <v>0.0022817985589747</v>
      </c>
      <c r="J250" t="n">
        <v>0.0100807049817523</v>
      </c>
      <c r="K250" t="n">
        <v>0.6619565383707311</v>
      </c>
      <c r="L250" t="b">
        <v>1</v>
      </c>
      <c r="M250" t="b">
        <v>0</v>
      </c>
      <c r="N250" t="inlineStr">
        <is>
          <t>ref</t>
        </is>
      </c>
      <c r="O250" t="n">
        <v>50</v>
      </c>
      <c r="P250" t="n">
        <v>0.0108</v>
      </c>
      <c r="Q250" t="n">
        <v>-30</v>
      </c>
      <c r="R250" t="n">
        <v>0.1367</v>
      </c>
      <c r="S250">
        <f>IMAGE("https://mitra.stanford.edu/kundaje/oak/projects/neuro-variants/variant_position/credible/roussos_2024/variant_figures/roussos_2024.adolescence.Astrocyte/rs144529710_count_position.png",4,220,900)</f>
        <v/>
      </c>
      <c r="T250">
        <f>IMAGE("https://mitra.stanford.edu/kundaje/oak/projects/neuro-variants/variant_position/credible/roussos_2024/variant_figures/roussos_2024.adolescence.Astrocyte/rs144529710_profile_position.png",4,220,900)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-0.07098047939999989</v>
      </c>
      <c r="G251" t="n">
        <v>0.1747709157688884</v>
      </c>
      <c r="H251" t="n">
        <v>0.0169533861555185</v>
      </c>
      <c r="I251" t="n">
        <v>0.2333729427989416</v>
      </c>
      <c r="J251" t="n">
        <v>0.0123616591994777</v>
      </c>
      <c r="K251" t="n">
        <v>0.6320350097575087</v>
      </c>
      <c r="L251" t="b">
        <v>0</v>
      </c>
      <c r="M251" t="b">
        <v>0</v>
      </c>
      <c r="N251" t="inlineStr">
        <is>
          <t>ref</t>
        </is>
      </c>
      <c r="O251" t="n">
        <v>-45</v>
      </c>
      <c r="P251" t="n">
        <v>0.013245</v>
      </c>
      <c r="Q251" t="n">
        <v>45</v>
      </c>
      <c r="R251" t="n">
        <v>0.0693</v>
      </c>
      <c r="S251">
        <f>IMAGE("https://mitra.stanford.edu/kundaje/oak/projects/neuro-variants/variant_position/credible/roussos_2024/variant_figures/roussos_2024.adolescence.Astrocyte/rs6690942_count_position.png",4,220,900)</f>
        <v/>
      </c>
      <c r="T251">
        <f>IMAGE("https://mitra.stanford.edu/kundaje/oak/projects/neuro-variants/variant_position/credible/roussos_2024/variant_figures/roussos_2024.adolescence.Astrocyte/rs6690942_profile_position.png",4,220,900)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-0.00325764848</v>
      </c>
      <c r="G252" t="n">
        <v>0.824192965735115</v>
      </c>
      <c r="H252" t="n">
        <v>0.0157328652274296</v>
      </c>
      <c r="I252" t="n">
        <v>0.2864708986339268</v>
      </c>
      <c r="J252" t="n">
        <v>0.2888281458623861</v>
      </c>
      <c r="K252" t="n">
        <v>0.1412223398679877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0.006416</v>
      </c>
      <c r="Q252" t="n">
        <v>100</v>
      </c>
      <c r="R252" t="n">
        <v>0.2588</v>
      </c>
      <c r="S252">
        <f>IMAGE("https://mitra.stanford.edu/kundaje/oak/projects/neuro-variants/variant_position/credible/roussos_2024/variant_figures/roussos_2024.adolescence.Astrocyte/rs2280473_count_position.png",4,220,900)</f>
        <v/>
      </c>
      <c r="T252">
        <f>IMAGE("https://mitra.stanford.edu/kundaje/oak/projects/neuro-variants/variant_position/credible/roussos_2024/variant_figures/roussos_2024.adolescence.Astrocyte/rs2280473_profile_position.png",4,220,900)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-0.0047228574</v>
      </c>
      <c r="G253" t="n">
        <v>0.6874780742925378</v>
      </c>
      <c r="H253" t="n">
        <v>0.0235210695989474</v>
      </c>
      <c r="I253" t="n">
        <v>0.078798504102199</v>
      </c>
      <c r="J253" t="n">
        <v>0.0156729371272586</v>
      </c>
      <c r="K253" t="n">
        <v>0.6068151634379373</v>
      </c>
      <c r="L253" t="b">
        <v>0</v>
      </c>
      <c r="M253" t="b">
        <v>0</v>
      </c>
      <c r="N253" t="inlineStr">
        <is>
          <t>ref</t>
        </is>
      </c>
      <c r="O253" t="n">
        <v>-80</v>
      </c>
      <c r="P253" t="n">
        <v>0.00757</v>
      </c>
      <c r="Q253" t="n">
        <v>-25</v>
      </c>
      <c r="R253" t="n">
        <v>0.04492</v>
      </c>
      <c r="S253">
        <f>IMAGE("https://mitra.stanford.edu/kundaje/oak/projects/neuro-variants/variant_position/credible/roussos_2024/variant_figures/roussos_2024.adolescence.Astrocyte/rs11800001_count_position.png",4,220,900)</f>
        <v/>
      </c>
      <c r="T253">
        <f>IMAGE("https://mitra.stanford.edu/kundaje/oak/projects/neuro-variants/variant_position/credible/roussos_2024/variant_figures/roussos_2024.adolescence.Astrocyte/rs11800001_profile_position.png",4,220,900)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-0.1012643447999999</v>
      </c>
      <c r="G254" t="n">
        <v>0.0776554637664145</v>
      </c>
      <c r="H254" t="n">
        <v>0.0167584847721933</v>
      </c>
      <c r="I254" t="n">
        <v>0.2370064959928776</v>
      </c>
      <c r="J254" t="n">
        <v>0.0134928641367236</v>
      </c>
      <c r="K254" t="n">
        <v>0.6381244729460412</v>
      </c>
      <c r="L254" t="b">
        <v>0</v>
      </c>
      <c r="M254" t="b">
        <v>0</v>
      </c>
      <c r="N254" t="inlineStr">
        <is>
          <t>ref</t>
        </is>
      </c>
      <c r="O254" t="n">
        <v>95</v>
      </c>
      <c r="P254" t="n">
        <v>0.007446</v>
      </c>
      <c r="Q254" t="n">
        <v>85</v>
      </c>
      <c r="R254" t="n">
        <v>0.1418</v>
      </c>
      <c r="S254">
        <f>IMAGE("https://mitra.stanford.edu/kundaje/oak/projects/neuro-variants/variant_position/credible/roussos_2024/variant_figures/roussos_2024.adolescence.Astrocyte/rs11264559_count_position.png",4,220,900)</f>
        <v/>
      </c>
      <c r="T254">
        <f>IMAGE("https://mitra.stanford.edu/kundaje/oak/projects/neuro-variants/variant_position/credible/roussos_2024/variant_figures/roussos_2024.adolescence.Astrocyte/rs11264559_profile_position.png",4,220,900)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-0.04318533826</v>
      </c>
      <c r="G255" t="n">
        <v>0.2962016866031425</v>
      </c>
      <c r="H255" t="n">
        <v>0.0118776484575388</v>
      </c>
      <c r="I255" t="n">
        <v>0.561264878710988</v>
      </c>
      <c r="J255" t="n">
        <v>0.0024537874966619</v>
      </c>
      <c r="K255" t="n">
        <v>0.8188423778674998</v>
      </c>
      <c r="L255" t="b">
        <v>0</v>
      </c>
      <c r="M255" t="b">
        <v>0</v>
      </c>
      <c r="N255" t="inlineStr">
        <is>
          <t>ref</t>
        </is>
      </c>
      <c r="O255" t="n">
        <v>75</v>
      </c>
      <c r="P255" t="n">
        <v>0.006268</v>
      </c>
      <c r="Q255" t="n">
        <v>-65</v>
      </c>
      <c r="R255" t="n">
        <v>0.0886</v>
      </c>
      <c r="S255">
        <f>IMAGE("https://mitra.stanford.edu/kundaje/oak/projects/neuro-variants/variant_position/credible/roussos_2024/variant_figures/roussos_2024.adolescence.Astrocyte/rs6671132_count_position.png",4,220,900)</f>
        <v/>
      </c>
      <c r="T255">
        <f>IMAGE("https://mitra.stanford.edu/kundaje/oak/projects/neuro-variants/variant_position/credible/roussos_2024/variant_figures/roussos_2024.adolescence.Astrocyte/rs6671132_profile_position.png",4,220,900)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-0.1598277658</v>
      </c>
      <c r="G256" t="n">
        <v>0.0377782174689559</v>
      </c>
      <c r="H256" t="n">
        <v>0.0217886638229692</v>
      </c>
      <c r="I256" t="n">
        <v>0.1045802710024528</v>
      </c>
      <c r="J256" t="n">
        <v>0.0218237248909592</v>
      </c>
      <c r="K256" t="n">
        <v>0.595555928631934</v>
      </c>
      <c r="L256" t="b">
        <v>0</v>
      </c>
      <c r="M256" t="b">
        <v>0</v>
      </c>
      <c r="N256" t="inlineStr">
        <is>
          <t>ref</t>
        </is>
      </c>
      <c r="O256" t="n">
        <v>-25</v>
      </c>
      <c r="P256" t="n">
        <v>0.003662</v>
      </c>
      <c r="Q256" t="n">
        <v>-85</v>
      </c>
      <c r="R256" t="n">
        <v>0.1059</v>
      </c>
      <c r="S256">
        <f>IMAGE("https://mitra.stanford.edu/kundaje/oak/projects/neuro-variants/variant_position/credible/roussos_2024/variant_figures/roussos_2024.adolescence.Astrocyte/rs10908525_count_position.png",4,220,900)</f>
        <v/>
      </c>
      <c r="T256">
        <f>IMAGE("https://mitra.stanford.edu/kundaje/oak/projects/neuro-variants/variant_position/credible/roussos_2024/variant_figures/roussos_2024.adolescence.Astrocyte/rs10908525_profile_position.png",4,220,900)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0.183651476</v>
      </c>
      <c r="G257" t="n">
        <v>0.0215329421315967</v>
      </c>
      <c r="H257" t="n">
        <v>0.0253292833840836</v>
      </c>
      <c r="I257" t="n">
        <v>0.0614172381451205</v>
      </c>
      <c r="J257" t="n">
        <v>0.813460967866362</v>
      </c>
      <c r="K257" t="n">
        <v>0.00709701045105</v>
      </c>
      <c r="L257" t="b">
        <v>0</v>
      </c>
      <c r="M257" t="b">
        <v>0</v>
      </c>
      <c r="N257" t="inlineStr">
        <is>
          <t>alt</t>
        </is>
      </c>
      <c r="O257" t="n">
        <v>100</v>
      </c>
      <c r="P257" t="n">
        <v>0.0107</v>
      </c>
      <c r="Q257" t="n">
        <v>-45</v>
      </c>
      <c r="R257" t="n">
        <v>0.04376</v>
      </c>
      <c r="S257">
        <f>IMAGE("https://mitra.stanford.edu/kundaje/oak/projects/neuro-variants/variant_position/credible/roussos_2024/variant_figures/roussos_2024.adolescence.Astrocyte/rs4845357_count_position.png",4,220,900)</f>
        <v/>
      </c>
      <c r="T257">
        <f>IMAGE("https://mitra.stanford.edu/kundaje/oak/projects/neuro-variants/variant_position/credible/roussos_2024/variant_figures/roussos_2024.adolescence.Astrocyte/rs4845357_profile_position.png",4,220,900)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0.02815180052</v>
      </c>
      <c r="G258" t="n">
        <v>0.4486822515936941</v>
      </c>
      <c r="H258" t="n">
        <v>0.0243864053572222</v>
      </c>
      <c r="I258" t="n">
        <v>0.07399173490323641</v>
      </c>
      <c r="J258" t="n">
        <v>0.0104397234667536</v>
      </c>
      <c r="K258" t="n">
        <v>0.6572403447946344</v>
      </c>
      <c r="L258" t="b">
        <v>0</v>
      </c>
      <c r="M258" t="b">
        <v>0</v>
      </c>
      <c r="N258" t="inlineStr">
        <is>
          <t>alt</t>
        </is>
      </c>
      <c r="O258" t="n">
        <v>65</v>
      </c>
      <c r="P258" t="n">
        <v>0.01636</v>
      </c>
      <c r="Q258" t="n">
        <v>20</v>
      </c>
      <c r="R258" t="n">
        <v>0.03217</v>
      </c>
      <c r="S258">
        <f>IMAGE("https://mitra.stanford.edu/kundaje/oak/projects/neuro-variants/variant_position/credible/roussos_2024/variant_figures/roussos_2024.adolescence.Astrocyte/rs10796968_count_position.png",4,220,900)</f>
        <v/>
      </c>
      <c r="T258">
        <f>IMAGE("https://mitra.stanford.edu/kundaje/oak/projects/neuro-variants/variant_position/credible/roussos_2024/variant_figures/roussos_2024.adolescence.Astrocyte/rs10796968_profile_position.png",4,220,900)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0.0586406028</v>
      </c>
      <c r="G259" t="n">
        <v>0.2096294783430713</v>
      </c>
      <c r="H259" t="n">
        <v>0.0204079489348411</v>
      </c>
      <c r="I259" t="n">
        <v>0.1304997920817261</v>
      </c>
      <c r="J259" t="n">
        <v>0.533946532949589</v>
      </c>
      <c r="K259" t="n">
        <v>0.0468480000179087</v>
      </c>
      <c r="L259" t="b">
        <v>0</v>
      </c>
      <c r="M259" t="b">
        <v>0</v>
      </c>
      <c r="N259" t="inlineStr">
        <is>
          <t>alt</t>
        </is>
      </c>
      <c r="O259" t="n">
        <v>90</v>
      </c>
      <c r="P259" t="n">
        <v>0.01279</v>
      </c>
      <c r="Q259" t="n">
        <v>100</v>
      </c>
      <c r="R259" t="n">
        <v>0.1956</v>
      </c>
      <c r="S259">
        <f>IMAGE("https://mitra.stanford.edu/kundaje/oak/projects/neuro-variants/variant_position/credible/roussos_2024/variant_figures/roussos_2024.adolescence.Astrocyte/rs3748848_count_position.png",4,220,900)</f>
        <v/>
      </c>
      <c r="T259">
        <f>IMAGE("https://mitra.stanford.edu/kundaje/oak/projects/neuro-variants/variant_position/credible/roussos_2024/variant_figures/roussos_2024.adolescence.Astrocyte/rs3748848_profile_position.png",4,220,900)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-0.008636090799999999</v>
      </c>
      <c r="G260" t="n">
        <v>0.7030772320230071</v>
      </c>
      <c r="H260" t="n">
        <v>0.0169994145874878</v>
      </c>
      <c r="I260" t="n">
        <v>0.2258315391562663</v>
      </c>
      <c r="J260" t="n">
        <v>0.0402686704447674</v>
      </c>
      <c r="K260" t="n">
        <v>0.4755179628708542</v>
      </c>
      <c r="L260" t="b">
        <v>0</v>
      </c>
      <c r="M260" t="b">
        <v>0</v>
      </c>
      <c r="N260" t="inlineStr">
        <is>
          <t>ref</t>
        </is>
      </c>
      <c r="O260" t="n">
        <v>-100</v>
      </c>
      <c r="P260" t="n">
        <v>0.0398</v>
      </c>
      <c r="Q260" t="n">
        <v>35</v>
      </c>
      <c r="R260" t="n">
        <v>0.05908</v>
      </c>
      <c r="S260">
        <f>IMAGE("https://mitra.stanford.edu/kundaje/oak/projects/neuro-variants/variant_position/credible/roussos_2024/variant_figures/roussos_2024.adolescence.Astrocyte/rs11586593_count_position.png",4,220,900)</f>
        <v/>
      </c>
      <c r="T260">
        <f>IMAGE("https://mitra.stanford.edu/kundaje/oak/projects/neuro-variants/variant_position/credible/roussos_2024/variant_figures/roussos_2024.adolescence.Astrocyte/rs11586593_profile_position.png",4,220,900)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0.0347140956</v>
      </c>
      <c r="G261" t="n">
        <v>0.3583955863772473</v>
      </c>
      <c r="H261" t="n">
        <v>0.0112066940903401</v>
      </c>
      <c r="I261" t="n">
        <v>0.6351320414984226</v>
      </c>
      <c r="J261" t="n">
        <v>0.5241988843723111</v>
      </c>
      <c r="K261" t="n">
        <v>0.0492165844366051</v>
      </c>
      <c r="L261" t="b">
        <v>0</v>
      </c>
      <c r="M261" t="b">
        <v>0</v>
      </c>
      <c r="N261" t="inlineStr">
        <is>
          <t>alt</t>
        </is>
      </c>
      <c r="O261" t="n">
        <v>80</v>
      </c>
      <c r="P261" t="n">
        <v>0.01572</v>
      </c>
      <c r="Q261" t="n">
        <v>-100</v>
      </c>
      <c r="R261" t="n">
        <v>0.05957</v>
      </c>
      <c r="S261">
        <f>IMAGE("https://mitra.stanford.edu/kundaje/oak/projects/neuro-variants/variant_position/credible/roussos_2024/variant_figures/roussos_2024.adolescence.Astrocyte/rs946682_count_position.png",4,220,900)</f>
        <v/>
      </c>
      <c r="T261">
        <f>IMAGE("https://mitra.stanford.edu/kundaje/oak/projects/neuro-variants/variant_position/credible/roussos_2024/variant_figures/roussos_2024.adolescence.Astrocyte/rs946682_profile_position.png",4,220,900)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0.0368909696</v>
      </c>
      <c r="G262" t="n">
        <v>0.3282543182225189</v>
      </c>
      <c r="H262" t="n">
        <v>0.0142475776330152</v>
      </c>
      <c r="I262" t="n">
        <v>0.3760509012776074</v>
      </c>
      <c r="J262" t="n">
        <v>8.82710737916506e-05</v>
      </c>
      <c r="K262" t="n">
        <v>0.9799425694937992</v>
      </c>
      <c r="L262" t="b">
        <v>0</v>
      </c>
      <c r="M262" t="b">
        <v>0</v>
      </c>
      <c r="N262" t="inlineStr">
        <is>
          <t>alt</t>
        </is>
      </c>
      <c r="O262" t="n">
        <v>40</v>
      </c>
      <c r="P262" t="n">
        <v>0.003845</v>
      </c>
      <c r="Q262" t="n">
        <v>-100</v>
      </c>
      <c r="R262" t="n">
        <v>0.1204</v>
      </c>
      <c r="S262">
        <f>IMAGE("https://mitra.stanford.edu/kundaje/oak/projects/neuro-variants/variant_position/credible/roussos_2024/variant_figures/roussos_2024.adolescence.Astrocyte/rs10737494_count_position.png",4,220,900)</f>
        <v/>
      </c>
      <c r="T262">
        <f>IMAGE("https://mitra.stanford.edu/kundaje/oak/projects/neuro-variants/variant_position/credible/roussos_2024/variant_figures/roussos_2024.adolescence.Astrocyte/rs10737494_profile_position.png",4,220,900)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0.0146355645999999</v>
      </c>
      <c r="G263" t="n">
        <v>0.631403561158755</v>
      </c>
      <c r="H263" t="n">
        <v>0.0317691708844268</v>
      </c>
      <c r="I263" t="n">
        <v>0.0250130190148808</v>
      </c>
      <c r="J263" t="n">
        <v>0.0003048690027593</v>
      </c>
      <c r="K263" t="n">
        <v>0.9641162115789842</v>
      </c>
      <c r="L263" t="b">
        <v>0</v>
      </c>
      <c r="M263" t="b">
        <v>0</v>
      </c>
      <c r="N263" t="inlineStr">
        <is>
          <t>alt</t>
        </is>
      </c>
      <c r="O263" t="n">
        <v>-100</v>
      </c>
      <c r="P263" t="n">
        <v>0.01203</v>
      </c>
      <c r="Q263" t="n">
        <v>-100</v>
      </c>
      <c r="R263" t="n">
        <v>0.271</v>
      </c>
      <c r="S263">
        <f>IMAGE("https://mitra.stanford.edu/kundaje/oak/projects/neuro-variants/variant_position/credible/roussos_2024/variant_figures/roussos_2024.adolescence.Astrocyte/rs3963479_count_position.png",4,220,900)</f>
        <v/>
      </c>
      <c r="T263">
        <f>IMAGE("https://mitra.stanford.edu/kundaje/oak/projects/neuro-variants/variant_position/credible/roussos_2024/variant_figures/roussos_2024.adolescence.Astrocyte/rs3963479_profile_position.png",4,220,900)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0.07310270478</v>
      </c>
      <c r="G264" t="n">
        <v>0.1636707995644413</v>
      </c>
      <c r="H264" t="n">
        <v>0.0251305868074346</v>
      </c>
      <c r="I264" t="n">
        <v>0.0621099365367769</v>
      </c>
      <c r="J264" t="n">
        <v>0.5477680028484111</v>
      </c>
      <c r="K264" t="n">
        <v>0.0424252591532617</v>
      </c>
      <c r="L264" t="b">
        <v>0</v>
      </c>
      <c r="M264" t="b">
        <v>0</v>
      </c>
      <c r="N264" t="inlineStr">
        <is>
          <t>alt</t>
        </is>
      </c>
      <c r="O264" t="n">
        <v>100</v>
      </c>
      <c r="P264" t="n">
        <v>0.01155</v>
      </c>
      <c r="Q264" t="n">
        <v>100</v>
      </c>
      <c r="R264" t="n">
        <v>0.2175</v>
      </c>
      <c r="S264">
        <f>IMAGE("https://mitra.stanford.edu/kundaje/oak/projects/neuro-variants/variant_position/credible/roussos_2024/variant_figures/roussos_2024.adolescence.Astrocyte/rs1932355_count_position.png",4,220,900)</f>
        <v/>
      </c>
      <c r="T264">
        <f>IMAGE("https://mitra.stanford.edu/kundaje/oak/projects/neuro-variants/variant_position/credible/roussos_2024/variant_figures/roussos_2024.adolescence.Astrocyte/rs1932355_profile_position.png",4,220,900)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0.0340008914</v>
      </c>
      <c r="G265" t="n">
        <v>0.3475897024214671</v>
      </c>
      <c r="H265" t="n">
        <v>0.0256195096536069</v>
      </c>
      <c r="I265" t="n">
        <v>0.057247915359365</v>
      </c>
      <c r="J265" t="n">
        <v>5.785835088864493e-05</v>
      </c>
      <c r="K265" t="n">
        <v>0.9920297186797884</v>
      </c>
      <c r="L265" t="b">
        <v>0</v>
      </c>
      <c r="M265" t="b">
        <v>0</v>
      </c>
      <c r="N265" t="inlineStr">
        <is>
          <t>alt</t>
        </is>
      </c>
      <c r="O265" t="n">
        <v>85</v>
      </c>
      <c r="P265" t="n">
        <v>0.002682</v>
      </c>
      <c r="Q265" t="n">
        <v>-100</v>
      </c>
      <c r="R265" t="n">
        <v>0.08484</v>
      </c>
      <c r="S265">
        <f>IMAGE("https://mitra.stanford.edu/kundaje/oak/projects/neuro-variants/variant_position/credible/roussos_2024/variant_figures/roussos_2024.adolescence.Astrocyte/rs6683086_count_position.png",4,220,900)</f>
        <v/>
      </c>
      <c r="T265">
        <f>IMAGE("https://mitra.stanford.edu/kundaje/oak/projects/neuro-variants/variant_position/credible/roussos_2024/variant_figures/roussos_2024.adolescence.Astrocyte/rs6683086_profile_position.png",4,220,900)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-0.0128466993</v>
      </c>
      <c r="G266" t="n">
        <v>0.6880435652301752</v>
      </c>
      <c r="H266" t="n">
        <v>0.0341712787262511</v>
      </c>
      <c r="I266" t="n">
        <v>0.0186537439275972</v>
      </c>
      <c r="J266" t="n">
        <v>8.159511022757294e-05</v>
      </c>
      <c r="K266" t="n">
        <v>0.9832491550199672</v>
      </c>
      <c r="L266" t="b">
        <v>0</v>
      </c>
      <c r="M266" t="b">
        <v>0</v>
      </c>
      <c r="N266" t="inlineStr">
        <is>
          <t>ref</t>
        </is>
      </c>
      <c r="O266" t="n">
        <v>100</v>
      </c>
      <c r="P266" t="n">
        <v>0.007202</v>
      </c>
      <c r="Q266" t="n">
        <v>-75</v>
      </c>
      <c r="R266" t="n">
        <v>0.0489</v>
      </c>
      <c r="S266">
        <f>IMAGE("https://mitra.stanford.edu/kundaje/oak/projects/neuro-variants/variant_position/credible/roussos_2024/variant_figures/roussos_2024.adolescence.Astrocyte/rs1934230_count_position.png",4,220,900)</f>
        <v/>
      </c>
      <c r="T266">
        <f>IMAGE("https://mitra.stanford.edu/kundaje/oak/projects/neuro-variants/variant_position/credible/roussos_2024/variant_figures/roussos_2024.adolescence.Astrocyte/rs1934230_profile_position.png",4,220,900)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0.104768084</v>
      </c>
      <c r="G267" t="n">
        <v>0.075504045956553</v>
      </c>
      <c r="H267" t="n">
        <v>0.0103049890897161</v>
      </c>
      <c r="I267" t="n">
        <v>0.7166021601951331</v>
      </c>
      <c r="J267" t="n">
        <v>0.165046138325965</v>
      </c>
      <c r="K267" t="n">
        <v>0.2426963027880759</v>
      </c>
      <c r="L267" t="b">
        <v>0</v>
      </c>
      <c r="M267" t="b">
        <v>0</v>
      </c>
      <c r="N267" t="inlineStr">
        <is>
          <t>alt</t>
        </is>
      </c>
      <c r="O267" t="n">
        <v>-5</v>
      </c>
      <c r="P267" t="n">
        <v>0.000763</v>
      </c>
      <c r="Q267" t="n">
        <v>5</v>
      </c>
      <c r="R267" t="n">
        <v>0.0188</v>
      </c>
      <c r="S267">
        <f>IMAGE("https://mitra.stanford.edu/kundaje/oak/projects/neuro-variants/variant_position/credible/roussos_2024/variant_figures/roussos_2024.adolescence.Astrocyte/rs10799961_count_position.png",4,220,900)</f>
        <v/>
      </c>
      <c r="T267">
        <f>IMAGE("https://mitra.stanford.edu/kundaje/oak/projects/neuro-variants/variant_position/credible/roussos_2024/variant_figures/roussos_2024.adolescence.Astrocyte/rs10799961_profile_position.png",4,220,900)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-0.0133211403999999</v>
      </c>
      <c r="G268" t="n">
        <v>0.677233269322653</v>
      </c>
      <c r="H268" t="n">
        <v>0.0358487322796692</v>
      </c>
      <c r="I268" t="n">
        <v>0.0150858795915017</v>
      </c>
      <c r="J268" t="n">
        <v>0.0156365902145209</v>
      </c>
      <c r="K268" t="n">
        <v>0.6206500651547306</v>
      </c>
      <c r="L268" t="b">
        <v>1</v>
      </c>
      <c r="M268" t="b">
        <v>0</v>
      </c>
      <c r="N268" t="inlineStr">
        <is>
          <t>ref</t>
        </is>
      </c>
      <c r="O268" t="n">
        <v>-10</v>
      </c>
      <c r="P268" t="n">
        <v>0.001053</v>
      </c>
      <c r="Q268" t="n">
        <v>-25</v>
      </c>
      <c r="R268" t="n">
        <v>0.01804</v>
      </c>
      <c r="S268">
        <f>IMAGE("https://mitra.stanford.edu/kundaje/oak/projects/neuro-variants/variant_position/credible/roussos_2024/variant_figures/roussos_2024.adolescence.Astrocyte/rs3856207_count_position.png",4,220,900)</f>
        <v/>
      </c>
      <c r="T268">
        <f>IMAGE("https://mitra.stanford.edu/kundaje/oak/projects/neuro-variants/variant_position/credible/roussos_2024/variant_figures/roussos_2024.adolescence.Astrocyte/rs3856207_profile_position.png",4,220,900)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-0.0060889178</v>
      </c>
      <c r="G269" t="n">
        <v>0.8118267064094545</v>
      </c>
      <c r="H269" t="n">
        <v>0.0161861267943183</v>
      </c>
      <c r="I269" t="n">
        <v>0.2647567802109677</v>
      </c>
      <c r="J269" t="n">
        <v>0.0001661573153724</v>
      </c>
      <c r="K269" t="n">
        <v>0.9644364780290762</v>
      </c>
      <c r="L269" t="b">
        <v>0</v>
      </c>
      <c r="M269" t="b">
        <v>0</v>
      </c>
      <c r="N269" t="inlineStr">
        <is>
          <t>ref</t>
        </is>
      </c>
      <c r="O269" t="n">
        <v>-100</v>
      </c>
      <c r="P269" t="n">
        <v>0.1317</v>
      </c>
      <c r="Q269" t="n">
        <v>90</v>
      </c>
      <c r="R269" t="n">
        <v>0.171</v>
      </c>
      <c r="S269">
        <f>IMAGE("https://mitra.stanford.edu/kundaje/oak/projects/neuro-variants/variant_position/credible/roussos_2024/variant_figures/roussos_2024.adolescence.Astrocyte/rs969029_count_position.png",4,220,900)</f>
        <v/>
      </c>
      <c r="T269">
        <f>IMAGE("https://mitra.stanford.edu/kundaje/oak/projects/neuro-variants/variant_position/credible/roussos_2024/variant_figures/roussos_2024.adolescence.Astrocyte/rs969029_profile_position.png",4,220,900)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-0.03700204626</v>
      </c>
      <c r="G270" t="n">
        <v>0.3562898147113844</v>
      </c>
      <c r="H270" t="n">
        <v>0.0289390959309579</v>
      </c>
      <c r="I270" t="n">
        <v>0.035983550305208</v>
      </c>
      <c r="J270" t="n">
        <v>0.005902293564371</v>
      </c>
      <c r="K270" t="n">
        <v>0.7243205547140824</v>
      </c>
      <c r="L270" t="b">
        <v>0</v>
      </c>
      <c r="M270" t="b">
        <v>0</v>
      </c>
      <c r="N270" t="inlineStr">
        <is>
          <t>ref</t>
        </is>
      </c>
      <c r="O270" t="n">
        <v>60</v>
      </c>
      <c r="P270" t="n">
        <v>0.00415</v>
      </c>
      <c r="Q270" t="n">
        <v>95</v>
      </c>
      <c r="R270" t="n">
        <v>0.1338</v>
      </c>
      <c r="S270">
        <f>IMAGE("https://mitra.stanford.edu/kundaje/oak/projects/neuro-variants/variant_position/credible/roussos_2024/variant_figures/roussos_2024.adolescence.Astrocyte/rs61826814_count_position.png",4,220,900)</f>
        <v/>
      </c>
      <c r="T270">
        <f>IMAGE("https://mitra.stanford.edu/kundaje/oak/projects/neuro-variants/variant_position/credible/roussos_2024/variant_figures/roussos_2024.adolescence.Astrocyte/rs61826814_profile_position.png",4,220,900)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0.0182521122</v>
      </c>
      <c r="G271" t="n">
        <v>0.3040063928574713</v>
      </c>
      <c r="H271" t="n">
        <v>0.0113587846603846</v>
      </c>
      <c r="I271" t="n">
        <v>0.5967545581736586</v>
      </c>
      <c r="J271" t="n">
        <v>0.0209365635106666</v>
      </c>
      <c r="K271" t="n">
        <v>0.5676015785870797</v>
      </c>
      <c r="L271" t="b">
        <v>0</v>
      </c>
      <c r="M271" t="b">
        <v>0</v>
      </c>
      <c r="N271" t="inlineStr">
        <is>
          <t>alt</t>
        </is>
      </c>
      <c r="O271" t="n">
        <v>-35</v>
      </c>
      <c r="P271" t="n">
        <v>0.01139</v>
      </c>
      <c r="Q271" t="n">
        <v>-25</v>
      </c>
      <c r="R271" t="n">
        <v>0.01121</v>
      </c>
      <c r="S271">
        <f>IMAGE("https://mitra.stanford.edu/kundaje/oak/projects/neuro-variants/variant_position/credible/roussos_2024/variant_figures/roussos_2024.adolescence.Astrocyte/rs61827870_count_position.png",4,220,900)</f>
        <v/>
      </c>
      <c r="T271">
        <f>IMAGE("https://mitra.stanford.edu/kundaje/oak/projects/neuro-variants/variant_position/credible/roussos_2024/variant_figures/roussos_2024.adolescence.Astrocyte/rs61827870_profile_position.png",4,220,900)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-0.0035900126</v>
      </c>
      <c r="G272" t="n">
        <v>0.2861647835107022</v>
      </c>
      <c r="H272" t="n">
        <v>0.0117973356414521</v>
      </c>
      <c r="I272" t="n">
        <v>0.5722643913577271</v>
      </c>
      <c r="J272" t="n">
        <v>0.0013285167492507</v>
      </c>
      <c r="K272" t="n">
        <v>0.8577143655047466</v>
      </c>
      <c r="L272" t="b">
        <v>0</v>
      </c>
      <c r="M272" t="b">
        <v>0</v>
      </c>
      <c r="N272" t="inlineStr">
        <is>
          <t>ref</t>
        </is>
      </c>
      <c r="O272" t="n">
        <v>80</v>
      </c>
      <c r="P272" t="n">
        <v>0.09894</v>
      </c>
      <c r="Q272" t="n">
        <v>85</v>
      </c>
      <c r="R272" t="n">
        <v>0.1351</v>
      </c>
      <c r="S272">
        <f>IMAGE("https://mitra.stanford.edu/kundaje/oak/projects/neuro-variants/variant_position/credible/roussos_2024/variant_figures/roussos_2024.adolescence.Astrocyte/rs28804123_count_position.png",4,220,900)</f>
        <v/>
      </c>
      <c r="T272">
        <f>IMAGE("https://mitra.stanford.edu/kundaje/oak/projects/neuro-variants/variant_position/credible/roussos_2024/variant_figures/roussos_2024.adolescence.Astrocyte/rs28804123_profile_position.png",4,220,900)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0.0297754551999999</v>
      </c>
      <c r="G273" t="n">
        <v>0.1902305967842242</v>
      </c>
      <c r="H273" t="n">
        <v>0.0395808627155176</v>
      </c>
      <c r="I273" t="n">
        <v>0.0101289145819766</v>
      </c>
      <c r="J273" t="n">
        <v>0.104736225261846</v>
      </c>
      <c r="K273" t="n">
        <v>0.3172674004787154</v>
      </c>
      <c r="L273" t="b">
        <v>1</v>
      </c>
      <c r="M273" t="b">
        <v>0</v>
      </c>
      <c r="N273" t="inlineStr">
        <is>
          <t>alt</t>
        </is>
      </c>
      <c r="O273" t="n">
        <v>30</v>
      </c>
      <c r="P273" t="n">
        <v>0.03806</v>
      </c>
      <c r="Q273" t="n">
        <v>30</v>
      </c>
      <c r="R273" t="n">
        <v>0.07829999999999999</v>
      </c>
      <c r="S273">
        <f>IMAGE("https://mitra.stanford.edu/kundaje/oak/projects/neuro-variants/variant_position/credible/roussos_2024/variant_figures/roussos_2024.adolescence.Astrocyte/rs9425757_count_position.png",4,220,900)</f>
        <v/>
      </c>
      <c r="T273">
        <f>IMAGE("https://mitra.stanford.edu/kundaje/oak/projects/neuro-variants/variant_position/credible/roussos_2024/variant_figures/roussos_2024.adolescence.Astrocyte/rs9425757_profile_position.png",4,220,900)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0.03054402698</v>
      </c>
      <c r="G274" t="n">
        <v>0.4059795746156041</v>
      </c>
      <c r="H274" t="n">
        <v>0.0124114367172791</v>
      </c>
      <c r="I274" t="n">
        <v>0.5151040121940338</v>
      </c>
      <c r="J274" t="n">
        <v>0.0110813577426341</v>
      </c>
      <c r="K274" t="n">
        <v>0.6537273980649171</v>
      </c>
      <c r="L274" t="b">
        <v>0</v>
      </c>
      <c r="M274" t="b">
        <v>0</v>
      </c>
      <c r="N274" t="inlineStr">
        <is>
          <t>alt</t>
        </is>
      </c>
      <c r="O274" t="n">
        <v>100</v>
      </c>
      <c r="P274" t="n">
        <v>0.1123</v>
      </c>
      <c r="Q274" t="n">
        <v>100</v>
      </c>
      <c r="R274" t="n">
        <v>0.10364</v>
      </c>
      <c r="S274">
        <f>IMAGE("https://mitra.stanford.edu/kundaje/oak/projects/neuro-variants/variant_position/credible/roussos_2024/variant_figures/roussos_2024.adolescence.Astrocyte/rs9425765_count_position.png",4,220,900)</f>
        <v/>
      </c>
      <c r="T274">
        <f>IMAGE("https://mitra.stanford.edu/kundaje/oak/projects/neuro-variants/variant_position/credible/roussos_2024/variant_figures/roussos_2024.adolescence.Astrocyte/rs9425765_profile_position.png",4,220,900)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-0.01307356744</v>
      </c>
      <c r="G275" t="n">
        <v>0.6763970634115177</v>
      </c>
      <c r="H275" t="n">
        <v>0.0171949538410207</v>
      </c>
      <c r="I275" t="n">
        <v>0.2220319563037544</v>
      </c>
      <c r="J275" t="n">
        <v>0.0049684004391299</v>
      </c>
      <c r="K275" t="n">
        <v>0.7575867434815853</v>
      </c>
      <c r="L275" t="b">
        <v>0</v>
      </c>
      <c r="M275" t="b">
        <v>0</v>
      </c>
      <c r="N275" t="inlineStr">
        <is>
          <t>ref</t>
        </is>
      </c>
      <c r="O275" t="n">
        <v>-35</v>
      </c>
      <c r="P275" t="n">
        <v>0.0008545</v>
      </c>
      <c r="Q275" t="n">
        <v>20</v>
      </c>
      <c r="R275" t="n">
        <v>0.0578</v>
      </c>
      <c r="S275">
        <f>IMAGE("https://mitra.stanford.edu/kundaje/oak/projects/neuro-variants/variant_position/credible/roussos_2024/variant_figures/roussos_2024.adolescence.Astrocyte/rs60265316_count_position.png",4,220,900)</f>
        <v/>
      </c>
      <c r="T275">
        <f>IMAGE("https://mitra.stanford.edu/kundaje/oak/projects/neuro-variants/variant_position/credible/roussos_2024/variant_figures/roussos_2024.adolescence.Astrocyte/rs60265316_profile_position.png",4,220,900)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0.0441192619</v>
      </c>
      <c r="G276" t="n">
        <v>0.2925879508524956</v>
      </c>
      <c r="H276" t="n">
        <v>0.0178367795660812</v>
      </c>
      <c r="I276" t="n">
        <v>0.1987370731353256</v>
      </c>
      <c r="J276" t="n">
        <v>0.0215878408450285</v>
      </c>
      <c r="K276" t="n">
        <v>0.5893339782787531</v>
      </c>
      <c r="L276" t="b">
        <v>0</v>
      </c>
      <c r="M276" t="b">
        <v>0</v>
      </c>
      <c r="N276" t="inlineStr">
        <is>
          <t>alt</t>
        </is>
      </c>
      <c r="O276" t="n">
        <v>95</v>
      </c>
      <c r="P276" t="n">
        <v>0.02689</v>
      </c>
      <c r="Q276" t="n">
        <v>65</v>
      </c>
      <c r="R276" t="n">
        <v>0.1816</v>
      </c>
      <c r="S276">
        <f>IMAGE("https://mitra.stanford.edu/kundaje/oak/projects/neuro-variants/variant_position/credible/roussos_2024/variant_figures/roussos_2024.adolescence.Astrocyte/rs1322775_count_position.png",4,220,900)</f>
        <v/>
      </c>
      <c r="T276">
        <f>IMAGE("https://mitra.stanford.edu/kundaje/oak/projects/neuro-variants/variant_position/credible/roussos_2024/variant_figures/roussos_2024.adolescence.Astrocyte/rs1322775_profile_position.png",4,220,900)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0.010914038294</v>
      </c>
      <c r="G277" t="n">
        <v>0.7080789182868539</v>
      </c>
      <c r="H277" t="n">
        <v>0.0295912077233595</v>
      </c>
      <c r="I277" t="n">
        <v>0.0341918566587385</v>
      </c>
      <c r="J277" t="n">
        <v>0.012121324511171</v>
      </c>
      <c r="K277" t="n">
        <v>0.6562268323577904</v>
      </c>
      <c r="L277" t="b">
        <v>0</v>
      </c>
      <c r="M277" t="b">
        <v>0</v>
      </c>
      <c r="N277" t="inlineStr">
        <is>
          <t>alt</t>
        </is>
      </c>
      <c r="O277" t="n">
        <v>100</v>
      </c>
      <c r="P277" t="n">
        <v>0.003798</v>
      </c>
      <c r="Q277" t="n">
        <v>-100</v>
      </c>
      <c r="R277" t="n">
        <v>0.08203000000000001</v>
      </c>
      <c r="S277">
        <f>IMAGE("https://mitra.stanford.edu/kundaje/oak/projects/neuro-variants/variant_position/credible/roussos_2024/variant_figures/roussos_2024.adolescence.Astrocyte/rs7349095_count_position.png",4,220,900)</f>
        <v/>
      </c>
      <c r="T277">
        <f>IMAGE("https://mitra.stanford.edu/kundaje/oak/projects/neuro-variants/variant_position/credible/roussos_2024/variant_figures/roussos_2024.adolescence.Astrocyte/rs7349095_profile_position.png",4,220,900)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0.009955400799999899</v>
      </c>
      <c r="G278" t="n">
        <v>0.647705262372436</v>
      </c>
      <c r="H278" t="n">
        <v>0.0273914385033226</v>
      </c>
      <c r="I278" t="n">
        <v>0.0447942144997766</v>
      </c>
      <c r="J278" t="n">
        <v>0.0118409340414799</v>
      </c>
      <c r="K278" t="n">
        <v>0.6480459705140852</v>
      </c>
      <c r="L278" t="b">
        <v>0</v>
      </c>
      <c r="M278" t="b">
        <v>0</v>
      </c>
      <c r="N278" t="inlineStr">
        <is>
          <t>alt</t>
        </is>
      </c>
      <c r="O278" t="n">
        <v>-20</v>
      </c>
      <c r="P278" t="n">
        <v>0.0007935</v>
      </c>
      <c r="Q278" t="n">
        <v>-100</v>
      </c>
      <c r="R278" t="n">
        <v>0.0537</v>
      </c>
      <c r="S278">
        <f>IMAGE("https://mitra.stanford.edu/kundaje/oak/projects/neuro-variants/variant_position/credible/roussos_2024/variant_figures/roussos_2024.adolescence.Astrocyte/rs1322779_count_position.png",4,220,900)</f>
        <v/>
      </c>
      <c r="T278">
        <f>IMAGE("https://mitra.stanford.edu/kundaje/oak/projects/neuro-variants/variant_position/credible/roussos_2024/variant_figures/roussos_2024.adolescence.Astrocyte/rs1322779_profile_position.png",4,220,900)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0.01957590624</v>
      </c>
      <c r="G279" t="n">
        <v>0.525568659132053</v>
      </c>
      <c r="H279" t="n">
        <v>0.0168209397699697</v>
      </c>
      <c r="I279" t="n">
        <v>0.237372329002914</v>
      </c>
      <c r="J279" t="n">
        <v>0.0177061389193839</v>
      </c>
      <c r="K279" t="n">
        <v>0.5926715709855265</v>
      </c>
      <c r="L279" t="b">
        <v>0</v>
      </c>
      <c r="M279" t="b">
        <v>0</v>
      </c>
      <c r="N279" t="inlineStr">
        <is>
          <t>alt</t>
        </is>
      </c>
      <c r="O279" t="n">
        <v>-90</v>
      </c>
      <c r="P279" t="n">
        <v>0.006454</v>
      </c>
      <c r="Q279" t="n">
        <v>60</v>
      </c>
      <c r="R279" t="n">
        <v>0.07199999999999999</v>
      </c>
      <c r="S279">
        <f>IMAGE("https://mitra.stanford.edu/kundaje/oak/projects/neuro-variants/variant_position/credible/roussos_2024/variant_figures/roussos_2024.adolescence.Astrocyte/rs9425434_count_position.png",4,220,900)</f>
        <v/>
      </c>
      <c r="T279">
        <f>IMAGE("https://mitra.stanford.edu/kundaje/oak/projects/neuro-variants/variant_position/credible/roussos_2024/variant_figures/roussos_2024.adolescence.Astrocyte/rs9425434_profile_position.png",4,220,900)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-0.00631757168</v>
      </c>
      <c r="G280" t="n">
        <v>0.8328035038958055</v>
      </c>
      <c r="H280" t="n">
        <v>0.0241830340039826</v>
      </c>
      <c r="I280" t="n">
        <v>0.071998759251213</v>
      </c>
      <c r="J280" t="n">
        <v>0.0985921134617095</v>
      </c>
      <c r="K280" t="n">
        <v>0.3251570686834751</v>
      </c>
      <c r="L280" t="b">
        <v>0</v>
      </c>
      <c r="M280" t="b">
        <v>0</v>
      </c>
      <c r="N280" t="inlineStr">
        <is>
          <t>ref</t>
        </is>
      </c>
      <c r="O280" t="n">
        <v>95</v>
      </c>
      <c r="P280" t="n">
        <v>0.003117</v>
      </c>
      <c r="Q280" t="n">
        <v>100</v>
      </c>
      <c r="R280" t="n">
        <v>0.2161</v>
      </c>
      <c r="S280">
        <f>IMAGE("https://mitra.stanford.edu/kundaje/oak/projects/neuro-variants/variant_position/credible/roussos_2024/variant_figures/roussos_2024.adolescence.Astrocyte/rs73039035_count_position.png",4,220,900)</f>
        <v/>
      </c>
      <c r="T280">
        <f>IMAGE("https://mitra.stanford.edu/kundaje/oak/projects/neuro-variants/variant_position/credible/roussos_2024/variant_figures/roussos_2024.adolescence.Astrocyte/rs73039035_profile_position.png",4,220,900)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0.047095104398</v>
      </c>
      <c r="G281" t="n">
        <v>0.2605375673092629</v>
      </c>
      <c r="H281" t="n">
        <v>0.0273569087846676</v>
      </c>
      <c r="I281" t="n">
        <v>0.0463355039469035</v>
      </c>
      <c r="J281" t="n">
        <v>0.0486707414770197</v>
      </c>
      <c r="K281" t="n">
        <v>0.4660871208203988</v>
      </c>
      <c r="L281" t="b">
        <v>0</v>
      </c>
      <c r="M281" t="b">
        <v>0</v>
      </c>
      <c r="N281" t="inlineStr">
        <is>
          <t>alt</t>
        </is>
      </c>
      <c r="O281" t="n">
        <v>20</v>
      </c>
      <c r="P281" t="n">
        <v>0.003235</v>
      </c>
      <c r="Q281" t="n">
        <v>-20</v>
      </c>
      <c r="R281" t="n">
        <v>0.02014</v>
      </c>
      <c r="S281">
        <f>IMAGE("https://mitra.stanford.edu/kundaje/oak/projects/neuro-variants/variant_position/credible/roussos_2024/variant_figures/roussos_2024.adolescence.Astrocyte/rs941989_count_position.png",4,220,900)</f>
        <v/>
      </c>
      <c r="T281">
        <f>IMAGE("https://mitra.stanford.edu/kundaje/oak/projects/neuro-variants/variant_position/credible/roussos_2024/variant_figures/roussos_2024.adolescence.Astrocyte/rs941989_profile_position.png",4,220,900)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-0.084837938</v>
      </c>
      <c r="G282" t="n">
        <v>0.1103107076028733</v>
      </c>
      <c r="H282" t="n">
        <v>0.0136635224898163</v>
      </c>
      <c r="I282" t="n">
        <v>0.3939804260786292</v>
      </c>
      <c r="J282" t="n">
        <v>0.1601674925080853</v>
      </c>
      <c r="K282" t="n">
        <v>0.2464563044742027</v>
      </c>
      <c r="L282" t="b">
        <v>0</v>
      </c>
      <c r="M282" t="b">
        <v>0</v>
      </c>
      <c r="N282" t="inlineStr">
        <is>
          <t>ref</t>
        </is>
      </c>
      <c r="O282" t="n">
        <v>-65</v>
      </c>
      <c r="P282" t="n">
        <v>0.002396</v>
      </c>
      <c r="Q282" t="n">
        <v>-50</v>
      </c>
      <c r="R282" t="n">
        <v>0.04602</v>
      </c>
      <c r="S282">
        <f>IMAGE("https://mitra.stanford.edu/kundaje/oak/projects/neuro-variants/variant_position/credible/roussos_2024/variant_figures/roussos_2024.adolescence.Astrocyte/rs2227593_count_position.png",4,220,900)</f>
        <v/>
      </c>
      <c r="T282">
        <f>IMAGE("https://mitra.stanford.edu/kundaje/oak/projects/neuro-variants/variant_position/credible/roussos_2024/variant_figures/roussos_2024.adolescence.Astrocyte/rs2227593_profile_position.png",4,220,900)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0.01512158106</v>
      </c>
      <c r="G283" t="n">
        <v>0.6309497311887454</v>
      </c>
      <c r="H283" t="n">
        <v>0.0237271643912918</v>
      </c>
      <c r="I283" t="n">
        <v>0.0760792039007073</v>
      </c>
      <c r="J283" t="n">
        <v>0.0005592973919235</v>
      </c>
      <c r="K283" t="n">
        <v>0.916842828367919</v>
      </c>
      <c r="L283" t="b">
        <v>0</v>
      </c>
      <c r="M283" t="b">
        <v>0</v>
      </c>
      <c r="N283" t="inlineStr">
        <is>
          <t>alt</t>
        </is>
      </c>
      <c r="O283" t="n">
        <v>45</v>
      </c>
      <c r="P283" t="n">
        <v>0.00885</v>
      </c>
      <c r="Q283" t="n">
        <v>10</v>
      </c>
      <c r="R283" t="n">
        <v>0.01193</v>
      </c>
      <c r="S283">
        <f>IMAGE("https://mitra.stanford.edu/kundaje/oak/projects/neuro-variants/variant_position/credible/roussos_2024/variant_figures/roussos_2024.adolescence.Astrocyte/rs1884994_count_position.png",4,220,900)</f>
        <v/>
      </c>
      <c r="T283">
        <f>IMAGE("https://mitra.stanford.edu/kundaje/oak/projects/neuro-variants/variant_position/credible/roussos_2024/variant_figures/roussos_2024.adolescence.Astrocyte/rs1884994_profile_position.png",4,220,900)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0.02900880948</v>
      </c>
      <c r="G284" t="n">
        <v>0.3248296395638724</v>
      </c>
      <c r="H284" t="n">
        <v>0.0118131994080696</v>
      </c>
      <c r="I284" t="n">
        <v>0.56287221305014</v>
      </c>
      <c r="J284" t="n">
        <v>0.0010570275643117</v>
      </c>
      <c r="K284" t="n">
        <v>0.8708429363131551</v>
      </c>
      <c r="L284" t="b">
        <v>0</v>
      </c>
      <c r="M284" t="b">
        <v>0</v>
      </c>
      <c r="N284" t="inlineStr">
        <is>
          <t>alt</t>
        </is>
      </c>
      <c r="O284" t="n">
        <v>-25</v>
      </c>
      <c r="P284" t="n">
        <v>0.001488</v>
      </c>
      <c r="Q284" t="n">
        <v>-100</v>
      </c>
      <c r="R284" t="n">
        <v>0.05383</v>
      </c>
      <c r="S284">
        <f>IMAGE("https://mitra.stanford.edu/kundaje/oak/projects/neuro-variants/variant_position/credible/roussos_2024/variant_figures/roussos_2024.adolescence.Astrocyte/rs6696163_count_position.png",4,220,900)</f>
        <v/>
      </c>
      <c r="T284">
        <f>IMAGE("https://mitra.stanford.edu/kundaje/oak/projects/neuro-variants/variant_position/credible/roussos_2024/variant_figures/roussos_2024.adolescence.Astrocyte/rs6696163_profile_position.png",4,220,900)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-0.08326699999999999</v>
      </c>
      <c r="G285" t="n">
        <v>0.0624978202214634</v>
      </c>
      <c r="H285" t="n">
        <v>0.0113894917369861</v>
      </c>
      <c r="I285" t="n">
        <v>0.6137944607221614</v>
      </c>
      <c r="J285" t="n">
        <v>0.4824993324036436</v>
      </c>
      <c r="K285" t="n">
        <v>0.0611358982855303</v>
      </c>
      <c r="L285" t="b">
        <v>0</v>
      </c>
      <c r="M285" t="b">
        <v>0</v>
      </c>
      <c r="N285" t="inlineStr">
        <is>
          <t>ref</t>
        </is>
      </c>
      <c r="O285" t="n">
        <v>-55</v>
      </c>
      <c r="P285" t="n">
        <v>0.008286</v>
      </c>
      <c r="Q285" t="n">
        <v>-60</v>
      </c>
      <c r="R285" t="n">
        <v>0.10986</v>
      </c>
      <c r="S285">
        <f>IMAGE("https://mitra.stanford.edu/kundaje/oak/projects/neuro-variants/variant_position/credible/roussos_2024/variant_figures/roussos_2024.adolescence.Astrocyte/rs12092774_count_position.png",4,220,900)</f>
        <v/>
      </c>
      <c r="T285">
        <f>IMAGE("https://mitra.stanford.edu/kundaje/oak/projects/neuro-variants/variant_position/credible/roussos_2024/variant_figures/roussos_2024.adolescence.Astrocyte/rs12092774_profile_position.png",4,220,900)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0.0657397216</v>
      </c>
      <c r="G286" t="n">
        <v>0.1551639688338739</v>
      </c>
      <c r="H286" t="n">
        <v>0.011732709971674</v>
      </c>
      <c r="I286" t="n">
        <v>0.5675154155086354</v>
      </c>
      <c r="J286" t="n">
        <v>0.0046791086846867</v>
      </c>
      <c r="K286" t="n">
        <v>0.7579562625341609</v>
      </c>
      <c r="L286" t="b">
        <v>0</v>
      </c>
      <c r="M286" t="b">
        <v>0</v>
      </c>
      <c r="N286" t="inlineStr">
        <is>
          <t>alt</t>
        </is>
      </c>
      <c r="O286" t="n">
        <v>15</v>
      </c>
      <c r="P286" t="n">
        <v>0.001564</v>
      </c>
      <c r="Q286" t="n">
        <v>-80</v>
      </c>
      <c r="R286" t="n">
        <v>0.4863</v>
      </c>
      <c r="S286">
        <f>IMAGE("https://mitra.stanford.edu/kundaje/oak/projects/neuro-variants/variant_position/credible/roussos_2024/variant_figures/roussos_2024.adolescence.Astrocyte/rs77574979_count_position.png",4,220,900)</f>
        <v/>
      </c>
      <c r="T286">
        <f>IMAGE("https://mitra.stanford.edu/kundaje/oak/projects/neuro-variants/variant_position/credible/roussos_2024/variant_figures/roussos_2024.adolescence.Astrocyte/rs77574979_profile_position.png",4,220,900)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0.0618320574</v>
      </c>
      <c r="G287" t="n">
        <v>0.221320487362252</v>
      </c>
      <c r="H287" t="n">
        <v>0.0230213885732225</v>
      </c>
      <c r="I287" t="n">
        <v>0.0903661057171921</v>
      </c>
      <c r="J287" t="n">
        <v>0.001116369462659</v>
      </c>
      <c r="K287" t="n">
        <v>0.8705587512206959</v>
      </c>
      <c r="L287" t="b">
        <v>0</v>
      </c>
      <c r="M287" t="b">
        <v>0</v>
      </c>
      <c r="N287" t="inlineStr">
        <is>
          <t>alt</t>
        </is>
      </c>
      <c r="O287" t="n">
        <v>-40</v>
      </c>
      <c r="P287" t="n">
        <v>0.004166</v>
      </c>
      <c r="Q287" t="n">
        <v>-85</v>
      </c>
      <c r="R287" t="n">
        <v>0.05762</v>
      </c>
      <c r="S287">
        <f>IMAGE("https://mitra.stanford.edu/kundaje/oak/projects/neuro-variants/variant_position/credible/roussos_2024/variant_figures/roussos_2024.adolescence.Astrocyte/rs61228022_count_position.png",4,220,900)</f>
        <v/>
      </c>
      <c r="T287">
        <f>IMAGE("https://mitra.stanford.edu/kundaje/oak/projects/neuro-variants/variant_position/credible/roussos_2024/variant_figures/roussos_2024.adolescence.Astrocyte/rs61228022_profile_position.png",4,220,900)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-0.134283974</v>
      </c>
      <c r="G288" t="n">
        <v>0.0467506851213074</v>
      </c>
      <c r="H288" t="n">
        <v>0.0202483501574071</v>
      </c>
      <c r="I288" t="n">
        <v>0.1355879063651999</v>
      </c>
      <c r="J288" t="n">
        <v>0.0103744473785716</v>
      </c>
      <c r="K288" t="n">
        <v>0.6715990517860624</v>
      </c>
      <c r="L288" t="b">
        <v>0</v>
      </c>
      <c r="M288" t="b">
        <v>0</v>
      </c>
      <c r="N288" t="inlineStr">
        <is>
          <t>ref</t>
        </is>
      </c>
      <c r="O288" t="n">
        <v>-35</v>
      </c>
      <c r="P288" t="n">
        <v>0.008149999999999999</v>
      </c>
      <c r="Q288" t="n">
        <v>95</v>
      </c>
      <c r="R288" t="n">
        <v>0.1477</v>
      </c>
      <c r="S288">
        <f>IMAGE("https://mitra.stanford.edu/kundaje/oak/projects/neuro-variants/variant_position/credible/roussos_2024/variant_figures/roussos_2024.adolescence.Astrocyte/rs55988379_count_position.png",4,220,900)</f>
        <v/>
      </c>
      <c r="T288">
        <f>IMAGE("https://mitra.stanford.edu/kundaje/oak/projects/neuro-variants/variant_position/credible/roussos_2024/variant_figures/roussos_2024.adolescence.Astrocyte/rs55988379_profile_position.png",4,220,900)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-0.0311454161999999</v>
      </c>
      <c r="G289" t="n">
        <v>0.4134645361643022</v>
      </c>
      <c r="H289" t="n">
        <v>0.030999887375081</v>
      </c>
      <c r="I289" t="n">
        <v>0.0275369248758455</v>
      </c>
      <c r="J289" t="n">
        <v>0.0189078123609173</v>
      </c>
      <c r="K289" t="n">
        <v>0.5931685367185129</v>
      </c>
      <c r="L289" t="b">
        <v>0</v>
      </c>
      <c r="M289" t="b">
        <v>0</v>
      </c>
      <c r="N289" t="inlineStr">
        <is>
          <t>ref</t>
        </is>
      </c>
      <c r="O289" t="n">
        <v>-40</v>
      </c>
      <c r="P289" t="n">
        <v>0.008710000000000001</v>
      </c>
      <c r="Q289" t="n">
        <v>55</v>
      </c>
      <c r="R289" t="n">
        <v>0.0813</v>
      </c>
      <c r="S289">
        <f>IMAGE("https://mitra.stanford.edu/kundaje/oak/projects/neuro-variants/variant_position/credible/roussos_2024/variant_figures/roussos_2024.adolescence.Astrocyte/rs61826842_count_position.png",4,220,900)</f>
        <v/>
      </c>
      <c r="T289">
        <f>IMAGE("https://mitra.stanford.edu/kundaje/oak/projects/neuro-variants/variant_position/credible/roussos_2024/variant_figures/roussos_2024.adolescence.Astrocyte/rs61826842_profile_position.png",4,220,900)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0.0153927185</v>
      </c>
      <c r="G290" t="n">
        <v>0.6216103388578423</v>
      </c>
      <c r="H290" t="n">
        <v>0.0498745984140099</v>
      </c>
      <c r="I290" t="n">
        <v>0.0041482580865644</v>
      </c>
      <c r="J290" t="n">
        <v>0.0170837907604664</v>
      </c>
      <c r="K290" t="n">
        <v>0.5977409233740689</v>
      </c>
      <c r="L290" t="b">
        <v>1</v>
      </c>
      <c r="M290" t="b">
        <v>0</v>
      </c>
      <c r="N290" t="inlineStr">
        <is>
          <t>alt</t>
        </is>
      </c>
      <c r="O290" t="n">
        <v>-45</v>
      </c>
      <c r="P290" t="n">
        <v>0.003265</v>
      </c>
      <c r="Q290" t="n">
        <v>-40</v>
      </c>
      <c r="R290" t="n">
        <v>0.04657</v>
      </c>
      <c r="S290">
        <f>IMAGE("https://mitra.stanford.edu/kundaje/oak/projects/neuro-variants/variant_position/credible/roussos_2024/variant_figures/roussos_2024.adolescence.Astrocyte/rs13376011_count_position.png",4,220,900)</f>
        <v/>
      </c>
      <c r="T290">
        <f>IMAGE("https://mitra.stanford.edu/kundaje/oak/projects/neuro-variants/variant_position/credible/roussos_2024/variant_figures/roussos_2024.adolescence.Astrocyte/rs13376011_profile_position.png",4,220,900)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-0.214822218</v>
      </c>
      <c r="G291" t="n">
        <v>0.0157121113663945</v>
      </c>
      <c r="H291" t="n">
        <v>0.0203248525282256</v>
      </c>
      <c r="I291" t="n">
        <v>0.1344516072850047</v>
      </c>
      <c r="J291" t="n">
        <v>0.0251476129721389</v>
      </c>
      <c r="K291" t="n">
        <v>0.5438275285968857</v>
      </c>
      <c r="L291" t="b">
        <v>1</v>
      </c>
      <c r="M291" t="b">
        <v>0</v>
      </c>
      <c r="N291" t="inlineStr">
        <is>
          <t>ref</t>
        </is>
      </c>
      <c r="O291" t="n">
        <v>60</v>
      </c>
      <c r="P291" t="n">
        <v>0.007990000000000001</v>
      </c>
      <c r="Q291" t="n">
        <v>-80</v>
      </c>
      <c r="R291" t="n">
        <v>0.07153</v>
      </c>
      <c r="S291">
        <f>IMAGE("https://mitra.stanford.edu/kundaje/oak/projects/neuro-variants/variant_position/credible/roussos_2024/variant_figures/roussos_2024.adolescence.Astrocyte/rs6425273_count_position.png",4,220,900)</f>
        <v/>
      </c>
      <c r="T291">
        <f>IMAGE("https://mitra.stanford.edu/kundaje/oak/projects/neuro-variants/variant_position/credible/roussos_2024/variant_figures/roussos_2024.adolescence.Astrocyte/rs6425273_profile_position.png",4,220,900)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-0.0221270805</v>
      </c>
      <c r="G292" t="n">
        <v>0.5077581151064889</v>
      </c>
      <c r="H292" t="n">
        <v>0.015656159763708</v>
      </c>
      <c r="I292" t="n">
        <v>0.286363147839257</v>
      </c>
      <c r="J292" t="n">
        <v>0.0131902204551523</v>
      </c>
      <c r="K292" t="n">
        <v>0.6299668681847077</v>
      </c>
      <c r="L292" t="b">
        <v>0</v>
      </c>
      <c r="M292" t="b">
        <v>0</v>
      </c>
      <c r="N292" t="inlineStr">
        <is>
          <t>ref</t>
        </is>
      </c>
      <c r="O292" t="n">
        <v>100</v>
      </c>
      <c r="P292" t="n">
        <v>0.01253</v>
      </c>
      <c r="Q292" t="n">
        <v>95</v>
      </c>
      <c r="R292" t="n">
        <v>0.1107</v>
      </c>
      <c r="S292">
        <f>IMAGE("https://mitra.stanford.edu/kundaje/oak/projects/neuro-variants/variant_position/credible/roussos_2024/variant_figures/roussos_2024.adolescence.Astrocyte/rs11587684_count_position.png",4,220,900)</f>
        <v/>
      </c>
      <c r="T292">
        <f>IMAGE("https://mitra.stanford.edu/kundaje/oak/projects/neuro-variants/variant_position/credible/roussos_2024/variant_figures/roussos_2024.adolescence.Astrocyte/rs11587684_profile_position.png",4,220,900)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0.00820624444</v>
      </c>
      <c r="G293" t="n">
        <v>0.7783988827814796</v>
      </c>
      <c r="H293" t="n">
        <v>0.0112748936092943</v>
      </c>
      <c r="I293" t="n">
        <v>0.6270491430003808</v>
      </c>
      <c r="J293" t="n">
        <v>0.0013937928374328</v>
      </c>
      <c r="K293" t="n">
        <v>0.8596842514285025</v>
      </c>
      <c r="L293" t="b">
        <v>0</v>
      </c>
      <c r="M293" t="b">
        <v>0</v>
      </c>
      <c r="N293" t="inlineStr">
        <is>
          <t>alt</t>
        </is>
      </c>
      <c r="O293" t="n">
        <v>-70</v>
      </c>
      <c r="P293" t="n">
        <v>0.004566</v>
      </c>
      <c r="Q293" t="n">
        <v>70</v>
      </c>
      <c r="R293" t="n">
        <v>0.1595</v>
      </c>
      <c r="S293">
        <f>IMAGE("https://mitra.stanford.edu/kundaje/oak/projects/neuro-variants/variant_position/credible/roussos_2024/variant_figures/roussos_2024.adolescence.Astrocyte/rs72720790_count_position.png",4,220,900)</f>
        <v/>
      </c>
      <c r="T293">
        <f>IMAGE("https://mitra.stanford.edu/kundaje/oak/projects/neuro-variants/variant_position/credible/roussos_2024/variant_figures/roussos_2024.adolescence.Astrocyte/rs72720790_profile_position.png",4,220,900)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0.0701971374</v>
      </c>
      <c r="G294" t="n">
        <v>0.1614584522048906</v>
      </c>
      <c r="H294" t="n">
        <v>0.0110777410975965</v>
      </c>
      <c r="I294" t="n">
        <v>0.6419968524920693</v>
      </c>
      <c r="J294" t="n">
        <v>8.975462125031528e-05</v>
      </c>
      <c r="K294" t="n">
        <v>0.9846943614743822</v>
      </c>
      <c r="L294" t="b">
        <v>0</v>
      </c>
      <c r="M294" t="b">
        <v>0</v>
      </c>
      <c r="N294" t="inlineStr">
        <is>
          <t>alt</t>
        </is>
      </c>
      <c r="O294" t="n">
        <v>-65</v>
      </c>
      <c r="P294" t="n">
        <v>0.003944</v>
      </c>
      <c r="Q294" t="n">
        <v>-50</v>
      </c>
      <c r="R294" t="n">
        <v>0.01767</v>
      </c>
      <c r="S294">
        <f>IMAGE("https://mitra.stanford.edu/kundaje/oak/projects/neuro-variants/variant_position/credible/roussos_2024/variant_figures/roussos_2024.adolescence.Astrocyte/rs11587000_count_position.png",4,220,900)</f>
        <v/>
      </c>
      <c r="T294">
        <f>IMAGE("https://mitra.stanford.edu/kundaje/oak/projects/neuro-variants/variant_position/credible/roussos_2024/variant_figures/roussos_2024.adolescence.Astrocyte/rs11587000_profile_position.png",4,220,900)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-0.126754892</v>
      </c>
      <c r="G295" t="n">
        <v>0.0584131356638219</v>
      </c>
      <c r="H295" t="n">
        <v>0.0142795900441989</v>
      </c>
      <c r="I295" t="n">
        <v>0.3659900148197914</v>
      </c>
      <c r="J295" t="n">
        <v>0.2660289885173427</v>
      </c>
      <c r="K295" t="n">
        <v>0.1540567529124917</v>
      </c>
      <c r="L295" t="b">
        <v>0</v>
      </c>
      <c r="M295" t="b">
        <v>0</v>
      </c>
      <c r="N295" t="inlineStr">
        <is>
          <t>ref</t>
        </is>
      </c>
      <c r="O295" t="n">
        <v>-45</v>
      </c>
      <c r="P295" t="n">
        <v>0.00516</v>
      </c>
      <c r="Q295" t="n">
        <v>-80</v>
      </c>
      <c r="R295" t="n">
        <v>0.2036</v>
      </c>
      <c r="S295">
        <f>IMAGE("https://mitra.stanford.edu/kundaje/oak/projects/neuro-variants/variant_position/credible/roussos_2024/variant_figures/roussos_2024.adolescence.Astrocyte/rs1415339_count_position.png",4,220,900)</f>
        <v/>
      </c>
      <c r="T295">
        <f>IMAGE("https://mitra.stanford.edu/kundaje/oak/projects/neuro-variants/variant_position/credible/roussos_2024/variant_figures/roussos_2024.adolescence.Astrocyte/rs1415339_profile_position.png",4,220,900)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-0.007601451324</v>
      </c>
      <c r="G296" t="n">
        <v>0.7078568646272381</v>
      </c>
      <c r="H296" t="n">
        <v>0.0340084996584899</v>
      </c>
      <c r="I296" t="n">
        <v>0.0186865662340756</v>
      </c>
      <c r="J296" t="n">
        <v>0.0046383111295729</v>
      </c>
      <c r="K296" t="n">
        <v>0.760051650849059</v>
      </c>
      <c r="L296" t="b">
        <v>0</v>
      </c>
      <c r="M296" t="b">
        <v>0</v>
      </c>
      <c r="N296" t="inlineStr">
        <is>
          <t>ref</t>
        </is>
      </c>
      <c r="O296" t="n">
        <v>100</v>
      </c>
      <c r="P296" t="n">
        <v>0.007979999999999999</v>
      </c>
      <c r="Q296" t="n">
        <v>-85</v>
      </c>
      <c r="R296" t="n">
        <v>0.0602</v>
      </c>
      <c r="S296">
        <f>IMAGE("https://mitra.stanford.edu/kundaje/oak/projects/neuro-variants/variant_position/credible/roussos_2024/variant_figures/roussos_2024.adolescence.Astrocyte/rs34929437_count_position.png",4,220,900)</f>
        <v/>
      </c>
      <c r="T296">
        <f>IMAGE("https://mitra.stanford.edu/kundaje/oak/projects/neuro-variants/variant_position/credible/roussos_2024/variant_figures/roussos_2024.adolescence.Astrocyte/rs34929437_profile_position.png",4,220,900)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0.03308278254</v>
      </c>
      <c r="G297" t="n">
        <v>0.3970046991778827</v>
      </c>
      <c r="H297" t="n">
        <v>0.0117855007155368</v>
      </c>
      <c r="I297" t="n">
        <v>0.5793992061185628</v>
      </c>
      <c r="J297" t="n">
        <v>0.0952741595703646</v>
      </c>
      <c r="K297" t="n">
        <v>0.3296569104107065</v>
      </c>
      <c r="L297" t="b">
        <v>0</v>
      </c>
      <c r="M297" t="b">
        <v>0</v>
      </c>
      <c r="N297" t="inlineStr">
        <is>
          <t>alt</t>
        </is>
      </c>
      <c r="O297" t="n">
        <v>70</v>
      </c>
      <c r="P297" t="n">
        <v>0.01245</v>
      </c>
      <c r="Q297" t="n">
        <v>-5</v>
      </c>
      <c r="R297" t="n">
        <v>0.008059999999999999</v>
      </c>
      <c r="S297">
        <f>IMAGE("https://mitra.stanford.edu/kundaje/oak/projects/neuro-variants/variant_position/credible/roussos_2024/variant_figures/roussos_2024.adolescence.Astrocyte/rs12143554_count_position.png",4,220,900)</f>
        <v/>
      </c>
      <c r="T297">
        <f>IMAGE("https://mitra.stanford.edu/kundaje/oak/projects/neuro-variants/variant_position/credible/roussos_2024/variant_figures/roussos_2024.adolescence.Astrocyte/rs12143554_profile_position.png",4,220,900)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-0.0471866678</v>
      </c>
      <c r="G298" t="n">
        <v>0.2668231649760704</v>
      </c>
      <c r="H298" t="n">
        <v>0.0157821290781427</v>
      </c>
      <c r="I298" t="n">
        <v>0.2855452587799564</v>
      </c>
      <c r="J298" t="n">
        <v>0.1244384772868883</v>
      </c>
      <c r="K298" t="n">
        <v>0.2878413076792079</v>
      </c>
      <c r="L298" t="b">
        <v>0</v>
      </c>
      <c r="M298" t="b">
        <v>0</v>
      </c>
      <c r="N298" t="inlineStr">
        <is>
          <t>ref</t>
        </is>
      </c>
      <c r="O298" t="n">
        <v>-80</v>
      </c>
      <c r="P298" t="n">
        <v>0.0325</v>
      </c>
      <c r="Q298" t="n">
        <v>90</v>
      </c>
      <c r="R298" t="n">
        <v>0.05322</v>
      </c>
      <c r="S298">
        <f>IMAGE("https://mitra.stanford.edu/kundaje/oak/projects/neuro-variants/variant_position/credible/roussos_2024/variant_figures/roussos_2024.adolescence.Astrocyte/rs12138989_count_position.png",4,220,900)</f>
        <v/>
      </c>
      <c r="T298">
        <f>IMAGE("https://mitra.stanford.edu/kundaje/oak/projects/neuro-variants/variant_position/credible/roussos_2024/variant_figures/roussos_2024.adolescence.Astrocyte/rs12138989_profile_position.png",4,220,900)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-0.0168804021</v>
      </c>
      <c r="G299" t="n">
        <v>0.5960350756949229</v>
      </c>
      <c r="H299" t="n">
        <v>0.0106191692467004</v>
      </c>
      <c r="I299" t="n">
        <v>0.701610235797359</v>
      </c>
      <c r="J299" t="n">
        <v>0.08296739162685809</v>
      </c>
      <c r="K299" t="n">
        <v>0.3590393885510399</v>
      </c>
      <c r="L299" t="b">
        <v>0</v>
      </c>
      <c r="M299" t="b">
        <v>0</v>
      </c>
      <c r="N299" t="inlineStr">
        <is>
          <t>ref</t>
        </is>
      </c>
      <c r="O299" t="n">
        <v>85</v>
      </c>
      <c r="P299" t="n">
        <v>0.003616</v>
      </c>
      <c r="Q299" t="n">
        <v>-35</v>
      </c>
      <c r="R299" t="n">
        <v>0.03607</v>
      </c>
      <c r="S299">
        <f>IMAGE("https://mitra.stanford.edu/kundaje/oak/projects/neuro-variants/variant_position/credible/roussos_2024/variant_figures/roussos_2024.adolescence.Astrocyte/rs55902020_count_position.png",4,220,900)</f>
        <v/>
      </c>
      <c r="T299">
        <f>IMAGE("https://mitra.stanford.edu/kundaje/oak/projects/neuro-variants/variant_position/credible/roussos_2024/variant_figures/roussos_2024.adolescence.Astrocyte/rs55902020_profile_position.png",4,220,900)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-0.0009560355999999</v>
      </c>
      <c r="G300" t="n">
        <v>0.4933646032556728</v>
      </c>
      <c r="H300" t="n">
        <v>0.0371275818838578</v>
      </c>
      <c r="I300" t="n">
        <v>0.0130326421926444</v>
      </c>
      <c r="J300" t="n">
        <v>0.0471768091861258</v>
      </c>
      <c r="K300" t="n">
        <v>0.4456070973877223</v>
      </c>
      <c r="L300" t="b">
        <v>1</v>
      </c>
      <c r="M300" t="b">
        <v>0</v>
      </c>
      <c r="N300" t="inlineStr">
        <is>
          <t>ref</t>
        </is>
      </c>
      <c r="O300" t="n">
        <v>30</v>
      </c>
      <c r="P300" t="n">
        <v>0.004112</v>
      </c>
      <c r="Q300" t="n">
        <v>-15</v>
      </c>
      <c r="R300" t="n">
        <v>0.07543999999999999</v>
      </c>
      <c r="S300">
        <f>IMAGE("https://mitra.stanford.edu/kundaje/oak/projects/neuro-variants/variant_position/credible/roussos_2024/variant_figures/roussos_2024.adolescence.Astrocyte/rs10913422_count_position.png",4,220,900)</f>
        <v/>
      </c>
      <c r="T300">
        <f>IMAGE("https://mitra.stanford.edu/kundaje/oak/projects/neuro-variants/variant_position/credible/roussos_2024/variant_figures/roussos_2024.adolescence.Astrocyte/rs10913422_profile_position.png",4,220,900)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0.0185555238</v>
      </c>
      <c r="G301" t="n">
        <v>0.5517562707145416</v>
      </c>
      <c r="H301" t="n">
        <v>0.0157737968681434</v>
      </c>
      <c r="I301" t="n">
        <v>0.2857402928722037</v>
      </c>
      <c r="J301" t="n">
        <v>0.2227724534907871</v>
      </c>
      <c r="K301" t="n">
        <v>0.1860053821406007</v>
      </c>
      <c r="L301" t="b">
        <v>0</v>
      </c>
      <c r="M301" t="b">
        <v>0</v>
      </c>
      <c r="N301" t="inlineStr">
        <is>
          <t>alt</t>
        </is>
      </c>
      <c r="O301" t="n">
        <v>-45</v>
      </c>
      <c r="P301" t="n">
        <v>0.006783</v>
      </c>
      <c r="Q301" t="n">
        <v>-100</v>
      </c>
      <c r="R301" t="n">
        <v>0.4116</v>
      </c>
      <c r="S301">
        <f>IMAGE("https://mitra.stanford.edu/kundaje/oak/projects/neuro-variants/variant_position/credible/roussos_2024/variant_figures/roussos_2024.adolescence.Astrocyte/rs12065872_count_position.png",4,220,900)</f>
        <v/>
      </c>
      <c r="T301">
        <f>IMAGE("https://mitra.stanford.edu/kundaje/oak/projects/neuro-variants/variant_position/credible/roussos_2024/variant_figures/roussos_2024.adolescence.Astrocyte/rs12065872_profile_position.png",4,220,900)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0.08439067679999999</v>
      </c>
      <c r="G302" t="n">
        <v>0.1071500253917474</v>
      </c>
      <c r="H302" t="n">
        <v>0.0119614276863471</v>
      </c>
      <c r="I302" t="n">
        <v>0.5632184413740299</v>
      </c>
      <c r="J302" t="n">
        <v>0.0307391033439159</v>
      </c>
      <c r="K302" t="n">
        <v>0.5186440357914588</v>
      </c>
      <c r="L302" t="b">
        <v>0</v>
      </c>
      <c r="M302" t="b">
        <v>0</v>
      </c>
      <c r="N302" t="inlineStr">
        <is>
          <t>alt</t>
        </is>
      </c>
      <c r="O302" t="n">
        <v>-100</v>
      </c>
      <c r="P302" t="n">
        <v>0.006226</v>
      </c>
      <c r="Q302" t="n">
        <v>-70</v>
      </c>
      <c r="R302" t="n">
        <v>0.05045</v>
      </c>
      <c r="S302">
        <f>IMAGE("https://mitra.stanford.edu/kundaje/oak/projects/neuro-variants/variant_position/credible/roussos_2024/variant_figures/roussos_2024.adolescence.Astrocyte/rs3818433_count_position.png",4,220,900)</f>
        <v/>
      </c>
      <c r="T302">
        <f>IMAGE("https://mitra.stanford.edu/kundaje/oak/projects/neuro-variants/variant_position/credible/roussos_2024/variant_figures/roussos_2024.adolescence.Astrocyte/rs3818433_profile_position.png",4,220,900)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-0.0718181138</v>
      </c>
      <c r="G303" t="n">
        <v>0.1473423465757448</v>
      </c>
      <c r="H303" t="n">
        <v>0.0124741617377482</v>
      </c>
      <c r="I303" t="n">
        <v>0.5106687233166465</v>
      </c>
      <c r="J303" t="n">
        <v>0.0192705397145654</v>
      </c>
      <c r="K303" t="n">
        <v>0.5869672786134444</v>
      </c>
      <c r="L303" t="b">
        <v>0</v>
      </c>
      <c r="M303" t="b">
        <v>0</v>
      </c>
      <c r="N303" t="inlineStr">
        <is>
          <t>ref</t>
        </is>
      </c>
      <c r="O303" t="n">
        <v>-90</v>
      </c>
      <c r="P303" t="n">
        <v>0.05676</v>
      </c>
      <c r="Q303" t="n">
        <v>-25</v>
      </c>
      <c r="R303" t="n">
        <v>0.1396</v>
      </c>
      <c r="S303">
        <f>IMAGE("https://mitra.stanford.edu/kundaje/oak/projects/neuro-variants/variant_position/credible/roussos_2024/variant_figures/roussos_2024.adolescence.Astrocyte/rs432798_count_position.png",4,220,900)</f>
        <v/>
      </c>
      <c r="T303">
        <f>IMAGE("https://mitra.stanford.edu/kundaje/oak/projects/neuro-variants/variant_position/credible/roussos_2024/variant_figures/roussos_2024.adolescence.Astrocyte/rs432798_profile_position.png",4,220,900)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-0.0447878633999999</v>
      </c>
      <c r="G304" t="n">
        <v>0.2786402372334441</v>
      </c>
      <c r="H304" t="n">
        <v>0.025616528465783</v>
      </c>
      <c r="I304" t="n">
        <v>0.0575683811010561</v>
      </c>
      <c r="J304" t="n">
        <v>0.037147286591698</v>
      </c>
      <c r="K304" t="n">
        <v>0.4894539798076489</v>
      </c>
      <c r="L304" t="b">
        <v>0</v>
      </c>
      <c r="M304" t="b">
        <v>0</v>
      </c>
      <c r="N304" t="inlineStr">
        <is>
          <t>ref</t>
        </is>
      </c>
      <c r="O304" t="n">
        <v>-100</v>
      </c>
      <c r="P304" t="n">
        <v>0.015594</v>
      </c>
      <c r="Q304" t="n">
        <v>-100</v>
      </c>
      <c r="R304" t="n">
        <v>0.2166</v>
      </c>
      <c r="S304">
        <f>IMAGE("https://mitra.stanford.edu/kundaje/oak/projects/neuro-variants/variant_position/credible/roussos_2024/variant_figures/roussos_2024.adolescence.Astrocyte/rs3122378_count_position.png",4,220,900)</f>
        <v/>
      </c>
      <c r="T304">
        <f>IMAGE("https://mitra.stanford.edu/kundaje/oak/projects/neuro-variants/variant_position/credible/roussos_2024/variant_figures/roussos_2024.adolescence.Astrocyte/rs3122378_profile_position.png",4,220,900)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0.0204883988399999</v>
      </c>
      <c r="G305" t="n">
        <v>0.5486885238390817</v>
      </c>
      <c r="H305" t="n">
        <v>0.020248234561688</v>
      </c>
      <c r="I305" t="n">
        <v>0.1302456443322595</v>
      </c>
      <c r="J305" t="n">
        <v>0.0070327567278876</v>
      </c>
      <c r="K305" t="n">
        <v>0.6992769437314039</v>
      </c>
      <c r="L305" t="b">
        <v>0</v>
      </c>
      <c r="M305" t="b">
        <v>0</v>
      </c>
      <c r="N305" t="inlineStr">
        <is>
          <t>alt</t>
        </is>
      </c>
      <c r="O305" t="n">
        <v>-100</v>
      </c>
      <c r="P305" t="n">
        <v>0.02977</v>
      </c>
      <c r="Q305" t="n">
        <v>-100</v>
      </c>
      <c r="R305" t="n">
        <v>0.1906</v>
      </c>
      <c r="S305">
        <f>IMAGE("https://mitra.stanford.edu/kundaje/oak/projects/neuro-variants/variant_position/credible/roussos_2024/variant_figures/roussos_2024.adolescence.Astrocyte/rs12049237_count_position.png",4,220,900)</f>
        <v/>
      </c>
      <c r="T305">
        <f>IMAGE("https://mitra.stanford.edu/kundaje/oak/projects/neuro-variants/variant_position/credible/roussos_2024/variant_figures/roussos_2024.adolescence.Astrocyte/rs12049237_profile_position.png",4,220,900)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-0.00655803058</v>
      </c>
      <c r="G306" t="n">
        <v>0.8367848225848352</v>
      </c>
      <c r="H306" t="n">
        <v>0.0280029243815765</v>
      </c>
      <c r="I306" t="n">
        <v>0.0417440842713211</v>
      </c>
      <c r="J306" t="n">
        <v>0.0031295433640921</v>
      </c>
      <c r="K306" t="n">
        <v>0.7804034989339006</v>
      </c>
      <c r="L306" t="b">
        <v>0</v>
      </c>
      <c r="M306" t="b">
        <v>0</v>
      </c>
      <c r="N306" t="inlineStr">
        <is>
          <t>ref</t>
        </is>
      </c>
      <c r="O306" t="n">
        <v>20</v>
      </c>
      <c r="P306" t="n">
        <v>0.00145</v>
      </c>
      <c r="Q306" t="n">
        <v>-40</v>
      </c>
      <c r="R306" t="n">
        <v>0.0728</v>
      </c>
      <c r="S306">
        <f>IMAGE("https://mitra.stanford.edu/kundaje/oak/projects/neuro-variants/variant_position/credible/roussos_2024/variant_figures/roussos_2024.adolescence.Astrocyte/rs78993991_count_position.png",4,220,900)</f>
        <v/>
      </c>
      <c r="T306">
        <f>IMAGE("https://mitra.stanford.edu/kundaje/oak/projects/neuro-variants/variant_position/credible/roussos_2024/variant_figures/roussos_2024.adolescence.Astrocyte/rs78993991_profile_position.png",4,220,900)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0.0455262552</v>
      </c>
      <c r="G307" t="n">
        <v>0.2505679058520149</v>
      </c>
      <c r="H307" t="n">
        <v>0.0134666683235325</v>
      </c>
      <c r="I307" t="n">
        <v>0.4280781630321586</v>
      </c>
      <c r="J307" t="n">
        <v>0.0012736254932794</v>
      </c>
      <c r="K307" t="n">
        <v>0.8635750634887454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0.254</v>
      </c>
      <c r="Q307" t="n">
        <v>90</v>
      </c>
      <c r="R307" t="n">
        <v>0.0731</v>
      </c>
      <c r="S307">
        <f>IMAGE("https://mitra.stanford.edu/kundaje/oak/projects/neuro-variants/variant_position/credible/roussos_2024/variant_figures/roussos_2024.adolescence.Astrocyte/rs13306728_count_position.png",4,220,900)</f>
        <v/>
      </c>
      <c r="T307">
        <f>IMAGE("https://mitra.stanford.edu/kundaje/oak/projects/neuro-variants/variant_position/credible/roussos_2024/variant_figures/roussos_2024.adolescence.Astrocyte/rs13306728_profile_position.png",4,220,900)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-0.0417452371999999</v>
      </c>
      <c r="G308" t="n">
        <v>0.3083994040541563</v>
      </c>
      <c r="H308" t="n">
        <v>0.0291593218552302</v>
      </c>
      <c r="I308" t="n">
        <v>0.0351492912743541</v>
      </c>
      <c r="J308" t="n">
        <v>0.0485349968845502</v>
      </c>
      <c r="K308" t="n">
        <v>0.4409411660530781</v>
      </c>
      <c r="L308" t="b">
        <v>0</v>
      </c>
      <c r="M308" t="b">
        <v>0</v>
      </c>
      <c r="N308" t="inlineStr">
        <is>
          <t>ref</t>
        </is>
      </c>
      <c r="O308" t="n">
        <v>-5</v>
      </c>
      <c r="P308" t="n">
        <v>0.002625</v>
      </c>
      <c r="Q308" t="n">
        <v>60</v>
      </c>
      <c r="R308" t="n">
        <v>0.0852</v>
      </c>
      <c r="S308">
        <f>IMAGE("https://mitra.stanford.edu/kundaje/oak/projects/neuro-variants/variant_position/credible/roussos_2024/variant_figures/roussos_2024.adolescence.Astrocyte/rs12141199_count_position.png",4,220,900)</f>
        <v/>
      </c>
      <c r="T308">
        <f>IMAGE("https://mitra.stanford.edu/kundaje/oak/projects/neuro-variants/variant_position/credible/roussos_2024/variant_figures/roussos_2024.adolescence.Astrocyte/rs12141199_profile_position.png",4,220,900)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0.215202276</v>
      </c>
      <c r="G309" t="n">
        <v>0.0173386448004574</v>
      </c>
      <c r="H309" t="n">
        <v>0.026321804111669</v>
      </c>
      <c r="I309" t="n">
        <v>0.0589928426985408</v>
      </c>
      <c r="J309" t="n">
        <v>0.0131850280390469</v>
      </c>
      <c r="K309" t="n">
        <v>0.6382870620837592</v>
      </c>
      <c r="L309" t="b">
        <v>1</v>
      </c>
      <c r="M309" t="b">
        <v>0</v>
      </c>
      <c r="N309" t="inlineStr">
        <is>
          <t>alt</t>
        </is>
      </c>
      <c r="O309" t="n">
        <v>-90</v>
      </c>
      <c r="P309" t="n">
        <v>0.004135</v>
      </c>
      <c r="Q309" t="n">
        <v>70</v>
      </c>
      <c r="R309" t="n">
        <v>0.11536</v>
      </c>
      <c r="S309">
        <f>IMAGE("https://mitra.stanford.edu/kundaje/oak/projects/neuro-variants/variant_position/credible/roussos_2024/variant_figures/roussos_2024.adolescence.Astrocyte/rs12047160_count_position.png",4,220,900)</f>
        <v/>
      </c>
      <c r="T309">
        <f>IMAGE("https://mitra.stanford.edu/kundaje/oak/projects/neuro-variants/variant_position/credible/roussos_2024/variant_figures/roussos_2024.adolescence.Astrocyte/rs12047160_profile_position.png",4,220,900)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-0.00729091207</v>
      </c>
      <c r="G310" t="n">
        <v>0.7127286986702237</v>
      </c>
      <c r="H310" t="n">
        <v>0.06881866012835169</v>
      </c>
      <c r="I310" t="n">
        <v>0.0012786328819969</v>
      </c>
      <c r="J310" t="n">
        <v>0.0054401685309912</v>
      </c>
      <c r="K310" t="n">
        <v>0.7393504898349396</v>
      </c>
      <c r="L310" t="b">
        <v>0</v>
      </c>
      <c r="M310" t="b">
        <v>0</v>
      </c>
      <c r="N310" t="inlineStr">
        <is>
          <t>ref</t>
        </is>
      </c>
      <c r="O310" t="n">
        <v>-40</v>
      </c>
      <c r="P310" t="n">
        <v>0.007934999999999999</v>
      </c>
      <c r="Q310" t="n">
        <v>45</v>
      </c>
      <c r="R310" t="n">
        <v>0.10175</v>
      </c>
      <c r="S310">
        <f>IMAGE("https://mitra.stanford.edu/kundaje/oak/projects/neuro-variants/variant_position/credible/roussos_2024/variant_figures/roussos_2024.adolescence.Astrocyte/rs12144580_count_position.png",4,220,900)</f>
        <v/>
      </c>
      <c r="T310">
        <f>IMAGE("https://mitra.stanford.edu/kundaje/oak/projects/neuro-variants/variant_position/credible/roussos_2024/variant_figures/roussos_2024.adolescence.Astrocyte/rs12144580_profile_position.png",4,220,900)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-0.1050377135999999</v>
      </c>
      <c r="G311" t="n">
        <v>0.0837120034383181</v>
      </c>
      <c r="H311" t="n">
        <v>0.0178649931440521</v>
      </c>
      <c r="I311" t="n">
        <v>0.2078047144805075</v>
      </c>
      <c r="J311" t="n">
        <v>0.5940012758508144</v>
      </c>
      <c r="K311" t="n">
        <v>0.0350108236966176</v>
      </c>
      <c r="L311" t="b">
        <v>0</v>
      </c>
      <c r="M311" t="b">
        <v>0</v>
      </c>
      <c r="N311" t="inlineStr">
        <is>
          <t>ref</t>
        </is>
      </c>
      <c r="O311" t="n">
        <v>75</v>
      </c>
      <c r="P311" t="n">
        <v>0.01254</v>
      </c>
      <c r="Q311" t="n">
        <v>-90</v>
      </c>
      <c r="R311" t="n">
        <v>0.03174</v>
      </c>
      <c r="S311">
        <f>IMAGE("https://mitra.stanford.edu/kundaje/oak/projects/neuro-variants/variant_position/credible/roussos_2024/variant_figures/roussos_2024.adolescence.Astrocyte/rs6425537_count_position.png",4,220,900)</f>
        <v/>
      </c>
      <c r="T311">
        <f>IMAGE("https://mitra.stanford.edu/kundaje/oak/projects/neuro-variants/variant_position/credible/roussos_2024/variant_figures/roussos_2024.adolescence.Astrocyte/rs6425537_profile_position.png",4,220,900)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0.00387460892</v>
      </c>
      <c r="G312" t="n">
        <v>0.8491111440565563</v>
      </c>
      <c r="H312" t="n">
        <v>0.0158760977875022</v>
      </c>
      <c r="I312" t="n">
        <v>0.2783204036118252</v>
      </c>
      <c r="J312" t="n">
        <v>0.8569400350117199</v>
      </c>
      <c r="K312" t="n">
        <v>0.0037920052094764</v>
      </c>
      <c r="L312" t="b">
        <v>0</v>
      </c>
      <c r="M312" t="b">
        <v>0</v>
      </c>
      <c r="N312" t="inlineStr">
        <is>
          <t>alt</t>
        </is>
      </c>
      <c r="O312" t="n">
        <v>90</v>
      </c>
      <c r="P312" t="n">
        <v>0.0588</v>
      </c>
      <c r="Q312" t="n">
        <v>90</v>
      </c>
      <c r="R312" t="n">
        <v>0.7026</v>
      </c>
      <c r="S312">
        <f>IMAGE("https://mitra.stanford.edu/kundaje/oak/projects/neuro-variants/variant_position/credible/roussos_2024/variant_figures/roussos_2024.adolescence.Astrocyte/rs56147147_count_position.png",4,220,900)</f>
        <v/>
      </c>
      <c r="T312">
        <f>IMAGE("https://mitra.stanford.edu/kundaje/oak/projects/neuro-variants/variant_position/credible/roussos_2024/variant_figures/roussos_2024.adolescence.Astrocyte/rs56147147_profile_position.png",4,220,900)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0.0115395861399999</v>
      </c>
      <c r="G313" t="n">
        <v>0.507239281102832</v>
      </c>
      <c r="H313" t="n">
        <v>0.0191901768804732</v>
      </c>
      <c r="I313" t="n">
        <v>0.1616094043409141</v>
      </c>
      <c r="J313" t="n">
        <v>0.8984578524166988</v>
      </c>
      <c r="K313" t="n">
        <v>0.0014428626895087</v>
      </c>
      <c r="L313" t="b">
        <v>0</v>
      </c>
      <c r="M313" t="b">
        <v>0</v>
      </c>
      <c r="N313" t="inlineStr">
        <is>
          <t>alt</t>
        </is>
      </c>
      <c r="O313" t="n">
        <v>-40</v>
      </c>
      <c r="P313" t="n">
        <v>0.00885</v>
      </c>
      <c r="Q313" t="n">
        <v>85</v>
      </c>
      <c r="R313" t="n">
        <v>0.1685</v>
      </c>
      <c r="S313">
        <f>IMAGE("https://mitra.stanford.edu/kundaje/oak/projects/neuro-variants/variant_position/credible/roussos_2024/variant_figures/roussos_2024.adolescence.Astrocyte/rs55986478_count_position.png",4,220,900)</f>
        <v/>
      </c>
      <c r="T313">
        <f>IMAGE("https://mitra.stanford.edu/kundaje/oak/projects/neuro-variants/variant_position/credible/roussos_2024/variant_figures/roussos_2024.adolescence.Astrocyte/rs55986478_profile_position.png",4,220,900)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-0.09588478979999999</v>
      </c>
      <c r="G314" t="n">
        <v>0.0952315265979795</v>
      </c>
      <c r="H314" t="n">
        <v>0.0293998542119754</v>
      </c>
      <c r="I314" t="n">
        <v>0.0351671880699444</v>
      </c>
      <c r="J314" t="n">
        <v>0.906811708156544</v>
      </c>
      <c r="K314" t="n">
        <v>0.0011405567330323</v>
      </c>
      <c r="L314" t="b">
        <v>0</v>
      </c>
      <c r="M314" t="b">
        <v>0</v>
      </c>
      <c r="N314" t="inlineStr">
        <is>
          <t>ref</t>
        </is>
      </c>
      <c r="O314" t="n">
        <v>-100</v>
      </c>
      <c r="P314" t="n">
        <v>0.0436</v>
      </c>
      <c r="Q314" t="n">
        <v>-80</v>
      </c>
      <c r="R314" t="n">
        <v>0.517</v>
      </c>
      <c r="S314">
        <f>IMAGE("https://mitra.stanford.edu/kundaje/oak/projects/neuro-variants/variant_position/credible/roussos_2024/variant_figures/roussos_2024.adolescence.Astrocyte/rs55906130_count_position.png",4,220,900)</f>
        <v/>
      </c>
      <c r="T314">
        <f>IMAGE("https://mitra.stanford.edu/kundaje/oak/projects/neuro-variants/variant_position/credible/roussos_2024/variant_figures/roussos_2024.adolescence.Astrocyte/rs55906130_profile_position.png",4,220,900)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0.0835132592</v>
      </c>
      <c r="G315" t="n">
        <v>0.1245428125109251</v>
      </c>
      <c r="H315" t="n">
        <v>0.0195286817699472</v>
      </c>
      <c r="I315" t="n">
        <v>0.1495908666955944</v>
      </c>
      <c r="J315" t="n">
        <v>0.9098492715781978</v>
      </c>
      <c r="K315" t="n">
        <v>0.0010709503925859</v>
      </c>
      <c r="L315" t="b">
        <v>0</v>
      </c>
      <c r="M315" t="b">
        <v>0</v>
      </c>
      <c r="N315" t="inlineStr">
        <is>
          <t>alt</t>
        </is>
      </c>
      <c r="O315" t="n">
        <v>-100</v>
      </c>
      <c r="P315" t="n">
        <v>0.009549999999999999</v>
      </c>
      <c r="Q315" t="n">
        <v>-40</v>
      </c>
      <c r="R315" t="n">
        <v>0.0415</v>
      </c>
      <c r="S315">
        <f>IMAGE("https://mitra.stanford.edu/kundaje/oak/projects/neuro-variants/variant_position/credible/roussos_2024/variant_figures/roussos_2024.adolescence.Astrocyte/rs11577489_count_position.png",4,220,900)</f>
        <v/>
      </c>
      <c r="T315">
        <f>IMAGE("https://mitra.stanford.edu/kundaje/oak/projects/neuro-variants/variant_position/credible/roussos_2024/variant_figures/roussos_2024.adolescence.Astrocyte/rs11577489_profile_position.png",4,220,900)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0.0585823092</v>
      </c>
      <c r="G316" t="n">
        <v>0.1930508524909789</v>
      </c>
      <c r="H316" t="n">
        <v>0.0135902891311674</v>
      </c>
      <c r="I316" t="n">
        <v>0.4207618781924839</v>
      </c>
      <c r="J316" t="n">
        <v>0.0120412129484021</v>
      </c>
      <c r="K316" t="n">
        <v>0.6590836453090401</v>
      </c>
      <c r="L316" t="b">
        <v>0</v>
      </c>
      <c r="M316" t="b">
        <v>0</v>
      </c>
      <c r="N316" t="inlineStr">
        <is>
          <t>alt</t>
        </is>
      </c>
      <c r="O316" t="n">
        <v>-65</v>
      </c>
      <c r="P316" t="n">
        <v>0.007996</v>
      </c>
      <c r="Q316" t="n">
        <v>-5</v>
      </c>
      <c r="R316" t="n">
        <v>0.009429999999999999</v>
      </c>
      <c r="S316">
        <f>IMAGE("https://mitra.stanford.edu/kundaje/oak/projects/neuro-variants/variant_position/credible/roussos_2024/variant_figures/roussos_2024.adolescence.Astrocyte/rs12135111_count_position.png",4,220,900)</f>
        <v/>
      </c>
      <c r="T316">
        <f>IMAGE("https://mitra.stanford.edu/kundaje/oak/projects/neuro-variants/variant_position/credible/roussos_2024/variant_figures/roussos_2024.adolescence.Astrocyte/rs12135111_profile_position.png",4,220,900)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0.00110317938</v>
      </c>
      <c r="G317" t="n">
        <v>0.8611529867371407</v>
      </c>
      <c r="H317" t="n">
        <v>0.0214300228809725</v>
      </c>
      <c r="I317" t="n">
        <v>0.1078658246495526</v>
      </c>
      <c r="J317" t="n">
        <v>0.0031874017149808</v>
      </c>
      <c r="K317" t="n">
        <v>0.7779663875139202</v>
      </c>
      <c r="L317" t="b">
        <v>0</v>
      </c>
      <c r="M317" t="b">
        <v>0</v>
      </c>
      <c r="N317" t="inlineStr">
        <is>
          <t>alt</t>
        </is>
      </c>
      <c r="O317" t="n">
        <v>85</v>
      </c>
      <c r="P317" t="n">
        <v>0.041</v>
      </c>
      <c r="Q317" t="n">
        <v>-100</v>
      </c>
      <c r="R317" t="n">
        <v>0.05176</v>
      </c>
      <c r="S317">
        <f>IMAGE("https://mitra.stanford.edu/kundaje/oak/projects/neuro-variants/variant_position/credible/roussos_2024/variant_figures/roussos_2024.adolescence.Astrocyte/rs6674331_count_position.png",4,220,900)</f>
        <v/>
      </c>
      <c r="T317">
        <f>IMAGE("https://mitra.stanford.edu/kundaje/oak/projects/neuro-variants/variant_position/credible/roussos_2024/variant_figures/roussos_2024.adolescence.Astrocyte/rs6674331_profile_position.png",4,220,900)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0.00167143836</v>
      </c>
      <c r="G318" t="n">
        <v>0.6703306141261781</v>
      </c>
      <c r="H318" t="n">
        <v>0.044402704815436</v>
      </c>
      <c r="I318" t="n">
        <v>0.0080842680947989</v>
      </c>
      <c r="J318" t="n">
        <v>0.07463059668278781</v>
      </c>
      <c r="K318" t="n">
        <v>0.3904998116935154</v>
      </c>
      <c r="L318" t="b">
        <v>1</v>
      </c>
      <c r="M318" t="b">
        <v>1</v>
      </c>
      <c r="N318" t="inlineStr">
        <is>
          <t>alt</t>
        </is>
      </c>
      <c r="O318" t="n">
        <v>35</v>
      </c>
      <c r="P318" t="n">
        <v>0.01855</v>
      </c>
      <c r="Q318" t="n">
        <v>30</v>
      </c>
      <c r="R318" t="n">
        <v>0.02893</v>
      </c>
      <c r="S318">
        <f>IMAGE("https://mitra.stanford.edu/kundaje/oak/projects/neuro-variants/variant_position/credible/roussos_2024/variant_figures/roussos_2024.adolescence.Astrocyte/rs202196017_count_position.png",4,220,900)</f>
        <v/>
      </c>
      <c r="T318">
        <f>IMAGE("https://mitra.stanford.edu/kundaje/oak/projects/neuro-variants/variant_position/credible/roussos_2024/variant_figures/roussos_2024.adolescence.Astrocyte/rs202196017_profile_position.png",4,220,900)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-0.0576774228</v>
      </c>
      <c r="G319" t="n">
        <v>0.22507333678625</v>
      </c>
      <c r="H319" t="n">
        <v>0.0141748283783553</v>
      </c>
      <c r="I319" t="n">
        <v>0.3701264604018676</v>
      </c>
      <c r="J319" t="n">
        <v>0.095644304661306</v>
      </c>
      <c r="K319" t="n">
        <v>0.3344733753773804</v>
      </c>
      <c r="L319" t="b">
        <v>0</v>
      </c>
      <c r="M319" t="b">
        <v>0</v>
      </c>
      <c r="N319" t="inlineStr">
        <is>
          <t>ref</t>
        </is>
      </c>
      <c r="O319" t="n">
        <v>-60</v>
      </c>
      <c r="P319" t="n">
        <v>0.07166</v>
      </c>
      <c r="Q319" t="n">
        <v>-60</v>
      </c>
      <c r="R319" t="n">
        <v>0.08790000000000001</v>
      </c>
      <c r="S319">
        <f>IMAGE("https://mitra.stanford.edu/kundaje/oak/projects/neuro-variants/variant_position/credible/roussos_2024/variant_figures/roussos_2024.adolescence.Astrocyte/rs12120123_count_position.png",4,220,900)</f>
        <v/>
      </c>
      <c r="T319">
        <f>IMAGE("https://mitra.stanford.edu/kundaje/oak/projects/neuro-variants/variant_position/credible/roussos_2024/variant_figures/roussos_2024.adolescence.Astrocyte/rs12120123_profile_position.png",4,220,900)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-0.260549664</v>
      </c>
      <c r="G320" t="n">
        <v>0.0101835015154075</v>
      </c>
      <c r="H320" t="n">
        <v>0.0394842141264116</v>
      </c>
      <c r="I320" t="n">
        <v>0.0120138333384677</v>
      </c>
      <c r="J320" t="n">
        <v>0.07184152746046341</v>
      </c>
      <c r="K320" t="n">
        <v>0.3812631301090163</v>
      </c>
      <c r="L320" t="b">
        <v>1</v>
      </c>
      <c r="M320" t="b">
        <v>0</v>
      </c>
      <c r="N320" t="inlineStr">
        <is>
          <t>ref</t>
        </is>
      </c>
      <c r="O320" t="n">
        <v>5</v>
      </c>
      <c r="P320" t="n">
        <v>0.000519</v>
      </c>
      <c r="Q320" t="n">
        <v>-15</v>
      </c>
      <c r="R320" t="n">
        <v>0.013916</v>
      </c>
      <c r="S320">
        <f>IMAGE("https://mitra.stanford.edu/kundaje/oak/projects/neuro-variants/variant_position/credible/roussos_2024/variant_figures/roussos_2024.adolescence.Astrocyte/rs12097041_count_position.png",4,220,900)</f>
        <v/>
      </c>
      <c r="T320">
        <f>IMAGE("https://mitra.stanford.edu/kundaje/oak/projects/neuro-variants/variant_position/credible/roussos_2024/variant_figures/roussos_2024.adolescence.Astrocyte/rs12097041_profile_position.png",4,220,900)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0.12314713</v>
      </c>
      <c r="G321" t="n">
        <v>0.0579369466266276</v>
      </c>
      <c r="H321" t="n">
        <v>0.0147993601302538</v>
      </c>
      <c r="I321" t="n">
        <v>0.3370930068490889</v>
      </c>
      <c r="J321" t="n">
        <v>0.0220232620241521</v>
      </c>
      <c r="K321" t="n">
        <v>0.5642396766797467</v>
      </c>
      <c r="L321" t="b">
        <v>0</v>
      </c>
      <c r="M321" t="b">
        <v>0</v>
      </c>
      <c r="N321" t="inlineStr">
        <is>
          <t>alt</t>
        </is>
      </c>
      <c r="O321" t="n">
        <v>100</v>
      </c>
      <c r="P321" t="n">
        <v>0.01166</v>
      </c>
      <c r="Q321" t="n">
        <v>75</v>
      </c>
      <c r="R321" t="n">
        <v>0.2446</v>
      </c>
      <c r="S321">
        <f>IMAGE("https://mitra.stanford.edu/kundaje/oak/projects/neuro-variants/variant_position/credible/roussos_2024/variant_figures/roussos_2024.adolescence.Astrocyte/rs12118625_count_position.png",4,220,900)</f>
        <v/>
      </c>
      <c r="T321">
        <f>IMAGE("https://mitra.stanford.edu/kundaje/oak/projects/neuro-variants/variant_position/credible/roussos_2024/variant_figures/roussos_2024.adolescence.Astrocyte/rs12118625_profile_position.png",4,220,900)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0.005992904386</v>
      </c>
      <c r="G322" t="n">
        <v>0.8290698404077667</v>
      </c>
      <c r="H322" t="n">
        <v>0.0097395413015495</v>
      </c>
      <c r="I322" t="n">
        <v>0.7852461267978194</v>
      </c>
      <c r="J322" t="n">
        <v>0.2605635996795537</v>
      </c>
      <c r="K322" t="n">
        <v>0.1582612145112245</v>
      </c>
      <c r="L322" t="b">
        <v>0</v>
      </c>
      <c r="M322" t="b">
        <v>0</v>
      </c>
      <c r="N322" t="inlineStr">
        <is>
          <t>alt</t>
        </is>
      </c>
      <c r="O322" t="n">
        <v>25</v>
      </c>
      <c r="P322" t="n">
        <v>0.005535</v>
      </c>
      <c r="Q322" t="n">
        <v>-25</v>
      </c>
      <c r="R322" t="n">
        <v>0.0274</v>
      </c>
      <c r="S322">
        <f>IMAGE("https://mitra.stanford.edu/kundaje/oak/projects/neuro-variants/variant_position/credible/roussos_2024/variant_figures/roussos_2024.adolescence.Astrocyte/rs10913758_count_position.png",4,220,900)</f>
        <v/>
      </c>
      <c r="T322">
        <f>IMAGE("https://mitra.stanford.edu/kundaje/oak/projects/neuro-variants/variant_position/credible/roussos_2024/variant_figures/roussos_2024.adolescence.Astrocyte/rs10913758_profile_position.png",4,220,900)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-0.0333070008</v>
      </c>
      <c r="G323" t="n">
        <v>0.3628509777746457</v>
      </c>
      <c r="H323" t="n">
        <v>0.0120022441850494</v>
      </c>
      <c r="I323" t="n">
        <v>0.5584106481870331</v>
      </c>
      <c r="J323" t="n">
        <v>2.373675933893125e-05</v>
      </c>
      <c r="K323" t="n">
        <v>0.9993445196739827</v>
      </c>
      <c r="L323" t="b">
        <v>0</v>
      </c>
      <c r="M323" t="b">
        <v>0</v>
      </c>
      <c r="N323" t="inlineStr">
        <is>
          <t>ref</t>
        </is>
      </c>
      <c r="O323" t="n">
        <v>-70</v>
      </c>
      <c r="P323" t="n">
        <v>0.0007706</v>
      </c>
      <c r="Q323" t="n">
        <v>50</v>
      </c>
      <c r="R323" t="n">
        <v>0.07530000000000001</v>
      </c>
      <c r="S323">
        <f>IMAGE("https://mitra.stanford.edu/kundaje/oak/projects/neuro-variants/variant_position/credible/roussos_2024/variant_figures/roussos_2024.adolescence.Astrocyte/rs36144856_count_position.png",4,220,900)</f>
        <v/>
      </c>
      <c r="T323">
        <f>IMAGE("https://mitra.stanford.edu/kundaje/oak/projects/neuro-variants/variant_position/credible/roussos_2024/variant_figures/roussos_2024.adolescence.Astrocyte/rs36144856_profile_position.png",4,220,900)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0.048142376</v>
      </c>
      <c r="G324" t="n">
        <v>0.2385173439442889</v>
      </c>
      <c r="H324" t="n">
        <v>0.0214159187263069</v>
      </c>
      <c r="I324" t="n">
        <v>0.1089929853040197</v>
      </c>
      <c r="J324" t="n">
        <v>0.007754502566537</v>
      </c>
      <c r="K324" t="n">
        <v>0.6914475364591091</v>
      </c>
      <c r="L324" t="b">
        <v>0</v>
      </c>
      <c r="M324" t="b">
        <v>0</v>
      </c>
      <c r="N324" t="inlineStr">
        <is>
          <t>alt</t>
        </is>
      </c>
      <c r="O324" t="n">
        <v>5</v>
      </c>
      <c r="P324" t="n">
        <v>0.001953</v>
      </c>
      <c r="Q324" t="n">
        <v>0</v>
      </c>
      <c r="R324" t="n">
        <v>0</v>
      </c>
      <c r="S324">
        <f>IMAGE("https://mitra.stanford.edu/kundaje/oak/projects/neuro-variants/variant_position/credible/roussos_2024/variant_figures/roussos_2024.adolescence.Astrocyte/rs12131475_count_position.png",4,220,900)</f>
        <v/>
      </c>
      <c r="T324">
        <f>IMAGE("https://mitra.stanford.edu/kundaje/oak/projects/neuro-variants/variant_position/credible/roussos_2024/variant_figures/roussos_2024.adolescence.Astrocyte/rs12131475_profile_position.png",4,220,900)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-0.0034080929999999</v>
      </c>
      <c r="G325" t="n">
        <v>0.5316312709584053</v>
      </c>
      <c r="H325" t="n">
        <v>0.0167716761581441</v>
      </c>
      <c r="I325" t="n">
        <v>0.2360012000006639</v>
      </c>
      <c r="J325" t="n">
        <v>0.0012988458000771</v>
      </c>
      <c r="K325" t="n">
        <v>0.8536579038843187</v>
      </c>
      <c r="L325" t="b">
        <v>0</v>
      </c>
      <c r="M325" t="b">
        <v>0</v>
      </c>
      <c r="N325" t="inlineStr">
        <is>
          <t>ref</t>
        </is>
      </c>
      <c r="O325" t="n">
        <v>-35</v>
      </c>
      <c r="P325" t="n">
        <v>0.005188</v>
      </c>
      <c r="Q325" t="n">
        <v>0</v>
      </c>
      <c r="R325" t="n">
        <v>0</v>
      </c>
      <c r="S325">
        <f>IMAGE("https://mitra.stanford.edu/kundaje/oak/projects/neuro-variants/variant_position/credible/roussos_2024/variant_figures/roussos_2024.adolescence.Astrocyte/rs1928006_count_position.png",4,220,900)</f>
        <v/>
      </c>
      <c r="T325">
        <f>IMAGE("https://mitra.stanford.edu/kundaje/oak/projects/neuro-variants/variant_position/credible/roussos_2024/variant_figures/roussos_2024.adolescence.Astrocyte/rs1928006_profile_position.png",4,220,900)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0.0416302208</v>
      </c>
      <c r="G326" t="n">
        <v>0.3324534624994072</v>
      </c>
      <c r="H326" t="n">
        <v>0.0104965967530697</v>
      </c>
      <c r="I326" t="n">
        <v>0.6957557431492376</v>
      </c>
      <c r="J326" t="n">
        <v>0.0283075690591341</v>
      </c>
      <c r="K326" t="n">
        <v>0.5359648518322165</v>
      </c>
      <c r="L326" t="b">
        <v>0</v>
      </c>
      <c r="M326" t="b">
        <v>0</v>
      </c>
      <c r="N326" t="inlineStr">
        <is>
          <t>alt</t>
        </is>
      </c>
      <c r="O326" t="n">
        <v>-100</v>
      </c>
      <c r="P326" t="n">
        <v>0.0313</v>
      </c>
      <c r="Q326" t="n">
        <v>-40</v>
      </c>
      <c r="R326" t="n">
        <v>0.1736</v>
      </c>
      <c r="S326">
        <f>IMAGE("https://mitra.stanford.edu/kundaje/oak/projects/neuro-variants/variant_position/credible/roussos_2024/variant_figures/roussos_2024.adolescence.Astrocyte/rs36100834_count_position.png",4,220,900)</f>
        <v/>
      </c>
      <c r="T326">
        <f>IMAGE("https://mitra.stanford.edu/kundaje/oak/projects/neuro-variants/variant_position/credible/roussos_2024/variant_figures/roussos_2024.adolescence.Astrocyte/rs36100834_profile_position.png",4,220,900)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-0.1122971587999999</v>
      </c>
      <c r="G327" t="n">
        <v>0.067160787567194</v>
      </c>
      <c r="H327" t="n">
        <v>0.0271184429930895</v>
      </c>
      <c r="I327" t="n">
        <v>0.0468569719787476</v>
      </c>
      <c r="J327" t="n">
        <v>0.0027156336231195</v>
      </c>
      <c r="K327" t="n">
        <v>0.8178910735263144</v>
      </c>
      <c r="L327" t="b">
        <v>0</v>
      </c>
      <c r="M327" t="b">
        <v>0</v>
      </c>
      <c r="N327" t="inlineStr">
        <is>
          <t>ref</t>
        </is>
      </c>
      <c r="O327" t="n">
        <v>-80</v>
      </c>
      <c r="P327" t="n">
        <v>0.00374</v>
      </c>
      <c r="Q327" t="n">
        <v>-65</v>
      </c>
      <c r="R327" t="n">
        <v>0.0801</v>
      </c>
      <c r="S327">
        <f>IMAGE("https://mitra.stanford.edu/kundaje/oak/projects/neuro-variants/variant_position/credible/roussos_2024/variant_figures/roussos_2024.adolescence.Astrocyte/rs61826032_count_position.png",4,220,900)</f>
        <v/>
      </c>
      <c r="T327">
        <f>IMAGE("https://mitra.stanford.edu/kundaje/oak/projects/neuro-variants/variant_position/credible/roussos_2024/variant_figures/roussos_2024.adolescence.Astrocyte/rs61826032_profile_position.png",4,220,900)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0.1036816288</v>
      </c>
      <c r="G328" t="n">
        <v>0.0911762558493583</v>
      </c>
      <c r="H328" t="n">
        <v>0.0258574809148297</v>
      </c>
      <c r="I328" t="n">
        <v>0.0594040639491792</v>
      </c>
      <c r="J328" t="n">
        <v>0.03338204314156</v>
      </c>
      <c r="K328" t="n">
        <v>0.5146393627691748</v>
      </c>
      <c r="L328" t="b">
        <v>0</v>
      </c>
      <c r="M328" t="b">
        <v>0</v>
      </c>
      <c r="N328" t="inlineStr">
        <is>
          <t>alt</t>
        </is>
      </c>
      <c r="O328" t="n">
        <v>-65</v>
      </c>
      <c r="P328" t="n">
        <v>0.008489999999999999</v>
      </c>
      <c r="Q328" t="n">
        <v>70</v>
      </c>
      <c r="R328" t="n">
        <v>0.04895</v>
      </c>
      <c r="S328">
        <f>IMAGE("https://mitra.stanford.edu/kundaje/oak/projects/neuro-variants/variant_position/credible/roussos_2024/variant_figures/roussos_2024.adolescence.Astrocyte/rs35954891_count_position.png",4,220,900)</f>
        <v/>
      </c>
      <c r="T328">
        <f>IMAGE("https://mitra.stanford.edu/kundaje/oak/projects/neuro-variants/variant_position/credible/roussos_2024/variant_figures/roussos_2024.adolescence.Astrocyte/rs35954891_profile_position.png",4,220,900)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-0.00292356382</v>
      </c>
      <c r="G329" t="n">
        <v>0.8845914548077773</v>
      </c>
      <c r="H329" t="n">
        <v>0.0244352701341502</v>
      </c>
      <c r="I329" t="n">
        <v>0.0709617913898454</v>
      </c>
      <c r="J329" t="n">
        <v>0.009072634483576999</v>
      </c>
      <c r="K329" t="n">
        <v>0.6971439889317605</v>
      </c>
      <c r="L329" t="b">
        <v>0</v>
      </c>
      <c r="M329" t="b">
        <v>0</v>
      </c>
      <c r="N329" t="inlineStr">
        <is>
          <t>ref</t>
        </is>
      </c>
      <c r="O329" t="n">
        <v>90</v>
      </c>
      <c r="P329" t="n">
        <v>0.013275</v>
      </c>
      <c r="Q329" t="n">
        <v>70</v>
      </c>
      <c r="R329" t="n">
        <v>0.127</v>
      </c>
      <c r="S329">
        <f>IMAGE("https://mitra.stanford.edu/kundaje/oak/projects/neuro-variants/variant_position/credible/roussos_2024/variant_figures/roussos_2024.adolescence.Astrocyte/rs10913808_count_position.png",4,220,900)</f>
        <v/>
      </c>
      <c r="T329">
        <f>IMAGE("https://mitra.stanford.edu/kundaje/oak/projects/neuro-variants/variant_position/credible/roussos_2024/variant_figures/roussos_2024.adolescence.Astrocyte/rs10913808_profile_position.png",4,220,900)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-0.209689822</v>
      </c>
      <c r="G330" t="n">
        <v>0.0176398133603962</v>
      </c>
      <c r="H330" t="n">
        <v>0.0283070362705018</v>
      </c>
      <c r="I330" t="n">
        <v>0.0411635554426603</v>
      </c>
      <c r="J330" t="n">
        <v>0.0598366614247989</v>
      </c>
      <c r="K330" t="n">
        <v>0.4197103134901765</v>
      </c>
      <c r="L330" t="b">
        <v>1</v>
      </c>
      <c r="M330" t="b">
        <v>0</v>
      </c>
      <c r="N330" t="inlineStr">
        <is>
          <t>ref</t>
        </is>
      </c>
      <c r="O330" t="n">
        <v>95</v>
      </c>
      <c r="P330" t="n">
        <v>0.00842</v>
      </c>
      <c r="Q330" t="n">
        <v>-55</v>
      </c>
      <c r="R330" t="n">
        <v>0.1179</v>
      </c>
      <c r="S330">
        <f>IMAGE("https://mitra.stanford.edu/kundaje/oak/projects/neuro-variants/variant_position/credible/roussos_2024/variant_figures/roussos_2024.adolescence.Astrocyte/rs12135209_count_position.png",4,220,900)</f>
        <v/>
      </c>
      <c r="T330">
        <f>IMAGE("https://mitra.stanford.edu/kundaje/oak/projects/neuro-variants/variant_position/credible/roussos_2024/variant_figures/roussos_2024.adolescence.Astrocyte/rs12135209_profile_position.png",4,220,900)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-0.00839083146</v>
      </c>
      <c r="G331" t="n">
        <v>0.7250136814393555</v>
      </c>
      <c r="H331" t="n">
        <v>0.0087978298247419</v>
      </c>
      <c r="I331" t="n">
        <v>0.8763036248293764</v>
      </c>
      <c r="J331" t="n">
        <v>0.4865835385573984</v>
      </c>
      <c r="K331" t="n">
        <v>0.0598689110119889</v>
      </c>
      <c r="L331" t="b">
        <v>0</v>
      </c>
      <c r="M331" t="b">
        <v>0</v>
      </c>
      <c r="N331" t="inlineStr">
        <is>
          <t>ref</t>
        </is>
      </c>
      <c r="O331" t="n">
        <v>-85</v>
      </c>
      <c r="P331" t="n">
        <v>0.01049</v>
      </c>
      <c r="Q331" t="n">
        <v>95</v>
      </c>
      <c r="R331" t="n">
        <v>0.05734</v>
      </c>
      <c r="S331">
        <f>IMAGE("https://mitra.stanford.edu/kundaje/oak/projects/neuro-variants/variant_position/credible/roussos_2024/variant_figures/roussos_2024.adolescence.Astrocyte/rs296534_count_position.png",4,220,900)</f>
        <v/>
      </c>
      <c r="T331">
        <f>IMAGE("https://mitra.stanford.edu/kundaje/oak/projects/neuro-variants/variant_position/credible/roussos_2024/variant_figures/roussos_2024.adolescence.Astrocyte/rs296534_profile_position.png",4,220,900)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0.0118234636199999</v>
      </c>
      <c r="G332" t="n">
        <v>0.6695386325972946</v>
      </c>
      <c r="H332" t="n">
        <v>0.008303532743604699</v>
      </c>
      <c r="I332" t="n">
        <v>0.9114026865792052</v>
      </c>
      <c r="J332" t="n">
        <v>0.2784551820312732</v>
      </c>
      <c r="K332" t="n">
        <v>0.1457443441056504</v>
      </c>
      <c r="L332" t="b">
        <v>0</v>
      </c>
      <c r="M332" t="b">
        <v>0</v>
      </c>
      <c r="N332" t="inlineStr">
        <is>
          <t>alt</t>
        </is>
      </c>
      <c r="O332" t="n">
        <v>-55</v>
      </c>
      <c r="P332" t="n">
        <v>0.04102</v>
      </c>
      <c r="Q332" t="n">
        <v>-95</v>
      </c>
      <c r="R332" t="n">
        <v>0.4463</v>
      </c>
      <c r="S332">
        <f>IMAGE("https://mitra.stanford.edu/kundaje/oak/projects/neuro-variants/variant_position/credible/roussos_2024/variant_figures/roussos_2024.adolescence.Astrocyte/rs11579874_count_position.png",4,220,900)</f>
        <v/>
      </c>
      <c r="T332">
        <f>IMAGE("https://mitra.stanford.edu/kundaje/oak/projects/neuro-variants/variant_position/credible/roussos_2024/variant_figures/roussos_2024.adolescence.Astrocyte/rs11579874_profile_position.png",4,220,900)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0.00733028854</v>
      </c>
      <c r="G333" t="n">
        <v>0.7554047789708516</v>
      </c>
      <c r="H333" t="n">
        <v>0.0147340224748826</v>
      </c>
      <c r="I333" t="n">
        <v>0.3431536294675509</v>
      </c>
      <c r="J333" t="n">
        <v>0.2209261786784559</v>
      </c>
      <c r="K333" t="n">
        <v>0.1864873936868806</v>
      </c>
      <c r="L333" t="b">
        <v>0</v>
      </c>
      <c r="M333" t="b">
        <v>0</v>
      </c>
      <c r="N333" t="inlineStr">
        <is>
          <t>alt</t>
        </is>
      </c>
      <c r="O333" t="n">
        <v>-75</v>
      </c>
      <c r="P333" t="n">
        <v>0.00689</v>
      </c>
      <c r="Q333" t="n">
        <v>95</v>
      </c>
      <c r="R333" t="n">
        <v>0.06370000000000001</v>
      </c>
      <c r="S333">
        <f>IMAGE("https://mitra.stanford.edu/kundaje/oak/projects/neuro-variants/variant_position/credible/roussos_2024/variant_figures/roussos_2024.adolescence.Astrocyte/rs4915471_count_position.png",4,220,900)</f>
        <v/>
      </c>
      <c r="T333">
        <f>IMAGE("https://mitra.stanford.edu/kundaje/oak/projects/neuro-variants/variant_position/credible/roussos_2024/variant_figures/roussos_2024.adolescence.Astrocyte/rs4915471_profile_position.png",4,220,900)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0.0096188732799999</v>
      </c>
      <c r="G334" t="n">
        <v>0.5445869641238404</v>
      </c>
      <c r="H334" t="n">
        <v>0.0101480039809652</v>
      </c>
      <c r="I334" t="n">
        <v>0.7349377147270473</v>
      </c>
      <c r="J334" t="n">
        <v>0.7622622615197461</v>
      </c>
      <c r="K334" t="n">
        <v>0.0114380260016843</v>
      </c>
      <c r="L334" t="b">
        <v>0</v>
      </c>
      <c r="M334" t="b">
        <v>0</v>
      </c>
      <c r="N334" t="inlineStr">
        <is>
          <t>alt</t>
        </is>
      </c>
      <c r="O334" t="n">
        <v>100</v>
      </c>
      <c r="P334" t="n">
        <v>0.3237</v>
      </c>
      <c r="Q334" t="n">
        <v>85</v>
      </c>
      <c r="R334" t="n">
        <v>0.4563</v>
      </c>
      <c r="S334">
        <f>IMAGE("https://mitra.stanford.edu/kundaje/oak/projects/neuro-variants/variant_position/credible/roussos_2024/variant_figures/roussos_2024.adolescence.Astrocyte/rs148277892_count_position.png",4,220,900)</f>
        <v/>
      </c>
      <c r="T334">
        <f>IMAGE("https://mitra.stanford.edu/kundaje/oak/projects/neuro-variants/variant_position/credible/roussos_2024/variant_figures/roussos_2024.adolescence.Astrocyte/rs148277892_profile_position.png",4,220,900)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0.099965261</v>
      </c>
      <c r="G335" t="n">
        <v>0.08052706231364801</v>
      </c>
      <c r="H335" t="n">
        <v>0.0158692587566954</v>
      </c>
      <c r="I335" t="n">
        <v>0.2805721768101291</v>
      </c>
      <c r="J335" t="n">
        <v>0.1422647835504257</v>
      </c>
      <c r="K335" t="n">
        <v>0.2655286264095795</v>
      </c>
      <c r="L335" t="b">
        <v>0</v>
      </c>
      <c r="M335" t="b">
        <v>0</v>
      </c>
      <c r="N335" t="inlineStr">
        <is>
          <t>alt</t>
        </is>
      </c>
      <c r="O335" t="n">
        <v>-95</v>
      </c>
      <c r="P335" t="n">
        <v>0.00472</v>
      </c>
      <c r="Q335" t="n">
        <v>20</v>
      </c>
      <c r="R335" t="n">
        <v>0.02045</v>
      </c>
      <c r="S335">
        <f>IMAGE("https://mitra.stanford.edu/kundaje/oak/projects/neuro-variants/variant_position/credible/roussos_2024/variant_figures/roussos_2024.adolescence.Astrocyte/rs296563_count_position.png",4,220,900)</f>
        <v/>
      </c>
      <c r="T335">
        <f>IMAGE("https://mitra.stanford.edu/kundaje/oak/projects/neuro-variants/variant_position/credible/roussos_2024/variant_figures/roussos_2024.adolescence.Astrocyte/rs296563_profile_position.png",4,220,900)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0.1686445319999999</v>
      </c>
      <c r="G336" t="n">
        <v>0.0318019448276769</v>
      </c>
      <c r="H336" t="n">
        <v>0.0221675732789114</v>
      </c>
      <c r="I336" t="n">
        <v>0.1009113914457575</v>
      </c>
      <c r="J336" t="n">
        <v>0.8594242352312851</v>
      </c>
      <c r="K336" t="n">
        <v>0.0038928670313966</v>
      </c>
      <c r="L336" t="b">
        <v>0</v>
      </c>
      <c r="M336" t="b">
        <v>0</v>
      </c>
      <c r="N336" t="inlineStr">
        <is>
          <t>alt</t>
        </is>
      </c>
      <c r="O336" t="n">
        <v>100</v>
      </c>
      <c r="P336" t="n">
        <v>0.05188</v>
      </c>
      <c r="Q336" t="n">
        <v>80</v>
      </c>
      <c r="R336" t="n">
        <v>0.3228</v>
      </c>
      <c r="S336">
        <f>IMAGE("https://mitra.stanford.edu/kundaje/oak/projects/neuro-variants/variant_position/credible/roussos_2024/variant_figures/roussos_2024.adolescence.Astrocyte/rs2297909_count_position.png",4,220,900)</f>
        <v/>
      </c>
      <c r="T336">
        <f>IMAGE("https://mitra.stanford.edu/kundaje/oak/projects/neuro-variants/variant_position/credible/roussos_2024/variant_figures/roussos_2024.adolescence.Astrocyte/rs2297909_profile_position.png",4,220,900)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0.07093422200000001</v>
      </c>
      <c r="G337" t="n">
        <v>0.1439034820786817</v>
      </c>
      <c r="H337" t="n">
        <v>0.0254091956474001</v>
      </c>
      <c r="I337" t="n">
        <v>0.0607279202782666</v>
      </c>
      <c r="J337" t="n">
        <v>0.1516919858766281</v>
      </c>
      <c r="K337" t="n">
        <v>0.2576398590869558</v>
      </c>
      <c r="L337" t="b">
        <v>0</v>
      </c>
      <c r="M337" t="b">
        <v>0</v>
      </c>
      <c r="N337" t="inlineStr">
        <is>
          <t>alt</t>
        </is>
      </c>
      <c r="O337" t="n">
        <v>-45</v>
      </c>
      <c r="P337" t="n">
        <v>0.01247</v>
      </c>
      <c r="Q337" t="n">
        <v>-95</v>
      </c>
      <c r="R337" t="n">
        <v>0.3342</v>
      </c>
      <c r="S337">
        <f>IMAGE("https://mitra.stanford.edu/kundaje/oak/projects/neuro-variants/variant_position/credible/roussos_2024/variant_figures/roussos_2024.adolescence.Astrocyte/rs59682551_count_position.png",4,220,900)</f>
        <v/>
      </c>
      <c r="T337">
        <f>IMAGE("https://mitra.stanford.edu/kundaje/oak/projects/neuro-variants/variant_position/credible/roussos_2024/variant_figures/roussos_2024.adolescence.Astrocyte/rs59682551_profile_position.png",4,220,900)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0.0029119432</v>
      </c>
      <c r="G338" t="n">
        <v>0.3370134596280743</v>
      </c>
      <c r="H338" t="n">
        <v>0.0119882856680382</v>
      </c>
      <c r="I338" t="n">
        <v>0.5436192870212168</v>
      </c>
      <c r="J338" t="n">
        <v>0.167862653176275</v>
      </c>
      <c r="K338" t="n">
        <v>0.2357603538727563</v>
      </c>
      <c r="L338" t="b">
        <v>0</v>
      </c>
      <c r="M338" t="b">
        <v>0</v>
      </c>
      <c r="N338" t="inlineStr">
        <is>
          <t>alt</t>
        </is>
      </c>
      <c r="O338" t="n">
        <v>-100</v>
      </c>
      <c r="P338" t="n">
        <v>0.007034</v>
      </c>
      <c r="Q338" t="n">
        <v>-20</v>
      </c>
      <c r="R338" t="n">
        <v>0.02179</v>
      </c>
      <c r="S338">
        <f>IMAGE("https://mitra.stanford.edu/kundaje/oak/projects/neuro-variants/variant_position/credible/roussos_2024/variant_figures/roussos_2024.adolescence.Astrocyte/rs12140420_count_position.png",4,220,900)</f>
        <v/>
      </c>
      <c r="T338">
        <f>IMAGE("https://mitra.stanford.edu/kundaje/oak/projects/neuro-variants/variant_position/credible/roussos_2024/variant_figures/roussos_2024.adolescence.Astrocyte/rs12140420_profile_position.png",4,220,900)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0.168346149</v>
      </c>
      <c r="G339" t="n">
        <v>0.0284757279206813</v>
      </c>
      <c r="H339" t="n">
        <v>0.0260249404576852</v>
      </c>
      <c r="I339" t="n">
        <v>0.057469522033952</v>
      </c>
      <c r="J339" t="n">
        <v>0.3357327240898436</v>
      </c>
      <c r="K339" t="n">
        <v>0.1158988648521251</v>
      </c>
      <c r="L339" t="b">
        <v>0</v>
      </c>
      <c r="M339" t="b">
        <v>0</v>
      </c>
      <c r="N339" t="inlineStr">
        <is>
          <t>alt</t>
        </is>
      </c>
      <c r="O339" t="n">
        <v>30</v>
      </c>
      <c r="P339" t="n">
        <v>0.02112</v>
      </c>
      <c r="Q339" t="n">
        <v>100</v>
      </c>
      <c r="R339" t="n">
        <v>0.2764</v>
      </c>
      <c r="S339">
        <f>IMAGE("https://mitra.stanford.edu/kundaje/oak/projects/neuro-variants/variant_position/credible/roussos_2024/variant_figures/roussos_2024.adolescence.Astrocyte/rs10920084_count_position.png",4,220,900)</f>
        <v/>
      </c>
      <c r="T339">
        <f>IMAGE("https://mitra.stanford.edu/kundaje/oak/projects/neuro-variants/variant_position/credible/roussos_2024/variant_figures/roussos_2024.adolescence.Astrocyte/rs10920084_profile_position.png",4,220,900)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-0.0035472903</v>
      </c>
      <c r="G340" t="n">
        <v>0.8329859152681858</v>
      </c>
      <c r="H340" t="n">
        <v>0.0081753012456373</v>
      </c>
      <c r="I340" t="n">
        <v>0.9114512026976416</v>
      </c>
      <c r="J340" t="n">
        <v>0.0590303533810046</v>
      </c>
      <c r="K340" t="n">
        <v>0.409234878857539</v>
      </c>
      <c r="L340" t="b">
        <v>0</v>
      </c>
      <c r="M340" t="b">
        <v>0</v>
      </c>
      <c r="N340" t="inlineStr">
        <is>
          <t>ref</t>
        </is>
      </c>
      <c r="O340" t="n">
        <v>25</v>
      </c>
      <c r="P340" t="n">
        <v>0.003391</v>
      </c>
      <c r="Q340" t="n">
        <v>-30</v>
      </c>
      <c r="R340" t="n">
        <v>0.04858</v>
      </c>
      <c r="S340">
        <f>IMAGE("https://mitra.stanford.edu/kundaje/oak/projects/neuro-variants/variant_position/credible/roussos_2024/variant_figures/roussos_2024.adolescence.Astrocyte/rs55757739_count_position.png",4,220,900)</f>
        <v/>
      </c>
      <c r="T340">
        <f>IMAGE("https://mitra.stanford.edu/kundaje/oak/projects/neuro-variants/variant_position/credible/roussos_2024/variant_figures/roussos_2024.adolescence.Astrocyte/rs55757739_profile_position.png",4,220,900)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-0.127921242</v>
      </c>
      <c r="G341" t="n">
        <v>0.0491550146578169</v>
      </c>
      <c r="H341" t="n">
        <v>0.0199132235035477</v>
      </c>
      <c r="I341" t="n">
        <v>0.1402839566477093</v>
      </c>
      <c r="J341" t="n">
        <v>0.2820097617422781</v>
      </c>
      <c r="K341" t="n">
        <v>0.1444466219968759</v>
      </c>
      <c r="L341" t="b">
        <v>0</v>
      </c>
      <c r="M341" t="b">
        <v>0</v>
      </c>
      <c r="N341" t="inlineStr">
        <is>
          <t>ref</t>
        </is>
      </c>
      <c r="O341" t="n">
        <v>100</v>
      </c>
      <c r="P341" t="n">
        <v>0.03418</v>
      </c>
      <c r="Q341" t="n">
        <v>100</v>
      </c>
      <c r="R341" t="n">
        <v>0.10736</v>
      </c>
      <c r="S341">
        <f>IMAGE("https://mitra.stanford.edu/kundaje/oak/projects/neuro-variants/variant_position/credible/roussos_2024/variant_figures/roussos_2024.adolescence.Astrocyte/rs12122721_count_position.png",4,220,900)</f>
        <v/>
      </c>
      <c r="T341">
        <f>IMAGE("https://mitra.stanford.edu/kundaje/oak/projects/neuro-variants/variant_position/credible/roussos_2024/variant_figures/roussos_2024.adolescence.Astrocyte/rs12122721_profile_position.png",4,220,900)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0.256032814</v>
      </c>
      <c r="G342" t="n">
        <v>0.009884055454073001</v>
      </c>
      <c r="H342" t="n">
        <v>0.0328826539073423</v>
      </c>
      <c r="I342" t="n">
        <v>0.0239457068907774</v>
      </c>
      <c r="J342" t="n">
        <v>0.7087462540426668</v>
      </c>
      <c r="K342" t="n">
        <v>0.0173991974809206</v>
      </c>
      <c r="L342" t="b">
        <v>1</v>
      </c>
      <c r="M342" t="b">
        <v>0</v>
      </c>
      <c r="N342" t="inlineStr">
        <is>
          <t>alt</t>
        </is>
      </c>
      <c r="O342" t="n">
        <v>100</v>
      </c>
      <c r="P342" t="n">
        <v>0.002808</v>
      </c>
      <c r="Q342" t="n">
        <v>0</v>
      </c>
      <c r="R342" t="n">
        <v>0</v>
      </c>
      <c r="S342">
        <f>IMAGE("https://mitra.stanford.edu/kundaje/oak/projects/neuro-variants/variant_position/credible/roussos_2024/variant_figures/roussos_2024.adolescence.Astrocyte/rs6701496_count_position.png",4,220,900)</f>
        <v/>
      </c>
      <c r="T342">
        <f>IMAGE("https://mitra.stanford.edu/kundaje/oak/projects/neuro-variants/variant_position/credible/roussos_2024/variant_figures/roussos_2024.adolescence.Astrocyte/rs6701496_profile_position.png",4,220,900)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0.034260795</v>
      </c>
      <c r="G343" t="n">
        <v>0.3516515746268326</v>
      </c>
      <c r="H343" t="n">
        <v>0.0140288511617147</v>
      </c>
      <c r="I343" t="n">
        <v>0.3846336040715646</v>
      </c>
      <c r="J343" t="n">
        <v>0.7325905705723526</v>
      </c>
      <c r="K343" t="n">
        <v>0.0146051855756504</v>
      </c>
      <c r="L343" t="b">
        <v>0</v>
      </c>
      <c r="M343" t="b">
        <v>0</v>
      </c>
      <c r="N343" t="inlineStr">
        <is>
          <t>alt</t>
        </is>
      </c>
      <c r="O343" t="n">
        <v>15</v>
      </c>
      <c r="P343" t="n">
        <v>0.001282</v>
      </c>
      <c r="Q343" t="n">
        <v>45</v>
      </c>
      <c r="R343" t="n">
        <v>0.09032999999999999</v>
      </c>
      <c r="S343">
        <f>IMAGE("https://mitra.stanford.edu/kundaje/oak/projects/neuro-variants/variant_position/credible/roussos_2024/variant_figures/roussos_2024.adolescence.Astrocyte/rs4844565_count_position.png",4,220,900)</f>
        <v/>
      </c>
      <c r="T343">
        <f>IMAGE("https://mitra.stanford.edu/kundaje/oak/projects/neuro-variants/variant_position/credible/roussos_2024/variant_figures/roussos_2024.adolescence.Astrocyte/rs4844565_profile_position.png",4,220,900)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0.0865106001999999</v>
      </c>
      <c r="G344" t="n">
        <v>0.114021916996469</v>
      </c>
      <c r="H344" t="n">
        <v>0.0186991170432046</v>
      </c>
      <c r="I344" t="n">
        <v>0.1723011709123908</v>
      </c>
      <c r="J344" t="n">
        <v>0.0551123045426222</v>
      </c>
      <c r="K344" t="n">
        <v>0.4183005742691125</v>
      </c>
      <c r="L344" t="b">
        <v>0</v>
      </c>
      <c r="M344" t="b">
        <v>0</v>
      </c>
      <c r="N344" t="inlineStr">
        <is>
          <t>alt</t>
        </is>
      </c>
      <c r="O344" t="n">
        <v>55</v>
      </c>
      <c r="P344" t="n">
        <v>0.008149999999999999</v>
      </c>
      <c r="Q344" t="n">
        <v>-60</v>
      </c>
      <c r="R344" t="n">
        <v>0.06</v>
      </c>
      <c r="S344">
        <f>IMAGE("https://mitra.stanford.edu/kundaje/oak/projects/neuro-variants/variant_position/credible/roussos_2024/variant_figures/roussos_2024.adolescence.Astrocyte/rs2075864_count_position.png",4,220,900)</f>
        <v/>
      </c>
      <c r="T344">
        <f>IMAGE("https://mitra.stanford.edu/kundaje/oak/projects/neuro-variants/variant_position/credible/roussos_2024/variant_figures/roussos_2024.adolescence.Astrocyte/rs2075864_profile_position.png",4,220,900)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0.0279448406</v>
      </c>
      <c r="G345" t="n">
        <v>0.415008938352621</v>
      </c>
      <c r="H345" t="n">
        <v>0.0178763844322783</v>
      </c>
      <c r="I345" t="n">
        <v>0.1968804532980061</v>
      </c>
      <c r="J345" t="n">
        <v>0.0476396759932349</v>
      </c>
      <c r="K345" t="n">
        <v>0.4414595903373262</v>
      </c>
      <c r="L345" t="b">
        <v>0</v>
      </c>
      <c r="M345" t="b">
        <v>0</v>
      </c>
      <c r="N345" t="inlineStr">
        <is>
          <t>alt</t>
        </is>
      </c>
      <c r="O345" t="n">
        <v>100</v>
      </c>
      <c r="P345" t="n">
        <v>0.00958</v>
      </c>
      <c r="Q345" t="n">
        <v>-60</v>
      </c>
      <c r="R345" t="n">
        <v>0.05023</v>
      </c>
      <c r="S345">
        <f>IMAGE("https://mitra.stanford.edu/kundaje/oak/projects/neuro-variants/variant_position/credible/roussos_2024/variant_figures/roussos_2024.adolescence.Astrocyte/rs2075865_count_position.png",4,220,900)</f>
        <v/>
      </c>
      <c r="T345">
        <f>IMAGE("https://mitra.stanford.edu/kundaje/oak/projects/neuro-variants/variant_position/credible/roussos_2024/variant_figures/roussos_2024.adolescence.Astrocyte/rs2075865_profile_position.png",4,220,900)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-0.07263665499999999</v>
      </c>
      <c r="G346" t="n">
        <v>0.1443772238173275</v>
      </c>
      <c r="H346" t="n">
        <v>0.0142131550717148</v>
      </c>
      <c r="I346" t="n">
        <v>0.3780028073107467</v>
      </c>
      <c r="J346" t="n">
        <v>0.0255199833842684</v>
      </c>
      <c r="K346" t="n">
        <v>0.5589066211069929</v>
      </c>
      <c r="L346" t="b">
        <v>0</v>
      </c>
      <c r="M346" t="b">
        <v>0</v>
      </c>
      <c r="N346" t="inlineStr">
        <is>
          <t>ref</t>
        </is>
      </c>
      <c r="O346" t="n">
        <v>-75</v>
      </c>
      <c r="P346" t="n">
        <v>0.004005</v>
      </c>
      <c r="Q346" t="n">
        <v>85</v>
      </c>
      <c r="R346" t="n">
        <v>0.1477</v>
      </c>
      <c r="S346">
        <f>IMAGE("https://mitra.stanford.edu/kundaje/oak/projects/neuro-variants/variant_position/credible/roussos_2024/variant_figures/roussos_2024.adolescence.Astrocyte/rs895239_count_position.png",4,220,900)</f>
        <v/>
      </c>
      <c r="T346">
        <f>IMAGE("https://mitra.stanford.edu/kundaje/oak/projects/neuro-variants/variant_position/credible/roussos_2024/variant_figures/roussos_2024.adolescence.Astrocyte/rs895239_profile_position.png",4,220,900)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-0.023414512428</v>
      </c>
      <c r="G347" t="n">
        <v>0.3022946915243519</v>
      </c>
      <c r="H347" t="n">
        <v>0.0164527742717584</v>
      </c>
      <c r="I347" t="n">
        <v>0.2523554093046637</v>
      </c>
      <c r="J347" t="n">
        <v>0.0248627718600717</v>
      </c>
      <c r="K347" t="n">
        <v>0.5599227305649223</v>
      </c>
      <c r="L347" t="b">
        <v>0</v>
      </c>
      <c r="M347" t="b">
        <v>0</v>
      </c>
      <c r="N347" t="inlineStr">
        <is>
          <t>ref</t>
        </is>
      </c>
      <c r="O347" t="n">
        <v>80</v>
      </c>
      <c r="P347" t="n">
        <v>0.002274</v>
      </c>
      <c r="Q347" t="n">
        <v>-100</v>
      </c>
      <c r="R347" t="n">
        <v>0.0979</v>
      </c>
      <c r="S347">
        <f>IMAGE("https://mitra.stanford.edu/kundaje/oak/projects/neuro-variants/variant_position/credible/roussos_2024/variant_figures/roussos_2024.adolescence.Astrocyte/rs895240_count_position.png",4,220,900)</f>
        <v/>
      </c>
      <c r="T347">
        <f>IMAGE("https://mitra.stanford.edu/kundaje/oak/projects/neuro-variants/variant_position/credible/roussos_2024/variant_figures/roussos_2024.adolescence.Astrocyte/rs895240_profile_position.png",4,220,900)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0.13089612</v>
      </c>
      <c r="G348" t="n">
        <v>0.0458131672078204</v>
      </c>
      <c r="H348" t="n">
        <v>0.02377522407637</v>
      </c>
      <c r="I348" t="n">
        <v>0.0766953277271134</v>
      </c>
      <c r="J348" t="n">
        <v>0.1767899000089012</v>
      </c>
      <c r="K348" t="n">
        <v>0.2253656226469086</v>
      </c>
      <c r="L348" t="b">
        <v>0</v>
      </c>
      <c r="M348" t="b">
        <v>0</v>
      </c>
      <c r="N348" t="inlineStr">
        <is>
          <t>alt</t>
        </is>
      </c>
      <c r="O348" t="n">
        <v>90</v>
      </c>
      <c r="P348" t="n">
        <v>0.00727</v>
      </c>
      <c r="Q348" t="n">
        <v>-65</v>
      </c>
      <c r="R348" t="n">
        <v>0.07324</v>
      </c>
      <c r="S348">
        <f>IMAGE("https://mitra.stanford.edu/kundaje/oak/projects/neuro-variants/variant_position/credible/roussos_2024/variant_figures/roussos_2024.adolescence.Astrocyte/rs600396_count_position.png",4,220,900)</f>
        <v/>
      </c>
      <c r="T348">
        <f>IMAGE("https://mitra.stanford.edu/kundaje/oak/projects/neuro-variants/variant_position/credible/roussos_2024/variant_figures/roussos_2024.adolescence.Astrocyte/rs600396_profile_position.png",4,220,900)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0.0343354048</v>
      </c>
      <c r="G349" t="n">
        <v>0.3514223703498503</v>
      </c>
      <c r="H349" t="n">
        <v>0.0105033346299675</v>
      </c>
      <c r="I349" t="n">
        <v>0.6976943798912248</v>
      </c>
      <c r="J349" t="n">
        <v>0.0542459128267512</v>
      </c>
      <c r="K349" t="n">
        <v>0.4210680165974115</v>
      </c>
      <c r="L349" t="b">
        <v>0</v>
      </c>
      <c r="M349" t="b">
        <v>0</v>
      </c>
      <c r="N349" t="inlineStr">
        <is>
          <t>alt</t>
        </is>
      </c>
      <c r="O349" t="n">
        <v>-70</v>
      </c>
      <c r="P349" t="n">
        <v>0.006042</v>
      </c>
      <c r="Q349" t="n">
        <v>35</v>
      </c>
      <c r="R349" t="n">
        <v>0.1019</v>
      </c>
      <c r="S349">
        <f>IMAGE("https://mitra.stanford.edu/kundaje/oak/projects/neuro-variants/variant_position/credible/roussos_2024/variant_figures/roussos_2024.adolescence.Astrocyte/rs7529009_count_position.png",4,220,900)</f>
        <v/>
      </c>
      <c r="T349">
        <f>IMAGE("https://mitra.stanford.edu/kundaje/oak/projects/neuro-variants/variant_position/credible/roussos_2024/variant_figures/roussos_2024.adolescence.Astrocyte/rs7529009_profile_position.png",4,220,900)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-0.00227627028</v>
      </c>
      <c r="G350" t="n">
        <v>0.7986261085029039</v>
      </c>
      <c r="H350" t="n">
        <v>0.0309639867393917</v>
      </c>
      <c r="I350" t="n">
        <v>0.0273979695104074</v>
      </c>
      <c r="J350" t="n">
        <v>0.0495490015725602</v>
      </c>
      <c r="K350" t="n">
        <v>0.440115883471156</v>
      </c>
      <c r="L350" t="b">
        <v>0</v>
      </c>
      <c r="M350" t="b">
        <v>0</v>
      </c>
      <c r="N350" t="inlineStr">
        <is>
          <t>ref</t>
        </is>
      </c>
      <c r="O350" t="n">
        <v>55</v>
      </c>
      <c r="P350" t="n">
        <v>0.002243</v>
      </c>
      <c r="Q350" t="n">
        <v>30</v>
      </c>
      <c r="R350" t="n">
        <v>0.02386</v>
      </c>
      <c r="S350">
        <f>IMAGE("https://mitra.stanford.edu/kundaje/oak/projects/neuro-variants/variant_position/credible/roussos_2024/variant_figures/roussos_2024.adolescence.Astrocyte/rs7530960_count_position.png",4,220,900)</f>
        <v/>
      </c>
      <c r="T350">
        <f>IMAGE("https://mitra.stanford.edu/kundaje/oak/projects/neuro-variants/variant_position/credible/roussos_2024/variant_figures/roussos_2024.adolescence.Astrocyte/rs7530960_profile_position.png",4,220,900)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0.0060269266</v>
      </c>
      <c r="G351" t="n">
        <v>0.436712805537975</v>
      </c>
      <c r="H351" t="n">
        <v>0.0166300724446933</v>
      </c>
      <c r="I351" t="n">
        <v>0.2528840190040015</v>
      </c>
      <c r="J351" t="n">
        <v>0.2182090615078776</v>
      </c>
      <c r="K351" t="n">
        <v>0.1899884703679939</v>
      </c>
      <c r="L351" t="b">
        <v>0</v>
      </c>
      <c r="M351" t="b">
        <v>0</v>
      </c>
      <c r="N351" t="inlineStr">
        <is>
          <t>alt</t>
        </is>
      </c>
      <c r="O351" t="n">
        <v>95</v>
      </c>
      <c r="P351" t="n">
        <v>0.1141</v>
      </c>
      <c r="Q351" t="n">
        <v>95</v>
      </c>
      <c r="R351" t="n">
        <v>0.2234</v>
      </c>
      <c r="S351">
        <f>IMAGE("https://mitra.stanford.edu/kundaje/oak/projects/neuro-variants/variant_position/credible/roussos_2024/variant_figures/roussos_2024.adolescence.Astrocyte/rs3811489_count_position.png",4,220,900)</f>
        <v/>
      </c>
      <c r="T351">
        <f>IMAGE("https://mitra.stanford.edu/kundaje/oak/projects/neuro-variants/variant_position/credible/roussos_2024/variant_figures/roussos_2024.adolescence.Astrocyte/rs3811489_profile_position.png",4,220,900)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-0.0492257949999999</v>
      </c>
      <c r="G352" t="n">
        <v>0.2381015265470085</v>
      </c>
      <c r="H352" t="n">
        <v>0.0121733004163441</v>
      </c>
      <c r="I352" t="n">
        <v>0.5368128798041746</v>
      </c>
      <c r="J352" t="n">
        <v>0.0376338901581461</v>
      </c>
      <c r="K352" t="n">
        <v>0.4918423854372941</v>
      </c>
      <c r="L352" t="b">
        <v>0</v>
      </c>
      <c r="M352" t="b">
        <v>0</v>
      </c>
      <c r="N352" t="inlineStr">
        <is>
          <t>ref</t>
        </is>
      </c>
      <c r="O352" t="n">
        <v>85</v>
      </c>
      <c r="P352" t="n">
        <v>0.005665</v>
      </c>
      <c r="Q352" t="n">
        <v>-15</v>
      </c>
      <c r="R352" t="n">
        <v>0.0181</v>
      </c>
      <c r="S352">
        <f>IMAGE("https://mitra.stanford.edu/kundaje/oak/projects/neuro-variants/variant_position/credible/roussos_2024/variant_figures/roussos_2024.adolescence.Astrocyte/rs4412597_count_position.png",4,220,900)</f>
        <v/>
      </c>
      <c r="T352">
        <f>IMAGE("https://mitra.stanford.edu/kundaje/oak/projects/neuro-variants/variant_position/credible/roussos_2024/variant_figures/roussos_2024.adolescence.Astrocyte/rs4412597_profile_position.png",4,220,900)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0.0447964388</v>
      </c>
      <c r="G353" t="n">
        <v>0.274666878213874</v>
      </c>
      <c r="H353" t="n">
        <v>0.020156801807525</v>
      </c>
      <c r="I353" t="n">
        <v>0.1388066958209838</v>
      </c>
      <c r="J353" t="n">
        <v>0.0357082455567753</v>
      </c>
      <c r="K353" t="n">
        <v>0.506918770884457</v>
      </c>
      <c r="L353" t="b">
        <v>0</v>
      </c>
      <c r="M353" t="b">
        <v>0</v>
      </c>
      <c r="N353" t="inlineStr">
        <is>
          <t>alt</t>
        </is>
      </c>
      <c r="O353" t="n">
        <v>65</v>
      </c>
      <c r="P353" t="n">
        <v>0.00498</v>
      </c>
      <c r="Q353" t="n">
        <v>90</v>
      </c>
      <c r="R353" t="n">
        <v>0.1002</v>
      </c>
      <c r="S353">
        <f>IMAGE("https://mitra.stanford.edu/kundaje/oak/projects/neuro-variants/variant_position/credible/roussos_2024/variant_figures/roussos_2024.adolescence.Astrocyte/rs2078219_count_position.png",4,220,900)</f>
        <v/>
      </c>
      <c r="T353">
        <f>IMAGE("https://mitra.stanford.edu/kundaje/oak/projects/neuro-variants/variant_position/credible/roussos_2024/variant_figures/roussos_2024.adolescence.Astrocyte/rs2078219_profile_position.png",4,220,900)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0.01467644014</v>
      </c>
      <c r="G354" t="n">
        <v>0.6374614176182103</v>
      </c>
      <c r="H354" t="n">
        <v>0.0163475555572187</v>
      </c>
      <c r="I354" t="n">
        <v>0.2520931579265391</v>
      </c>
      <c r="J354" t="n">
        <v>0.1743479808919087</v>
      </c>
      <c r="K354" t="n">
        <v>0.2267830566561894</v>
      </c>
      <c r="L354" t="b">
        <v>0</v>
      </c>
      <c r="M354" t="b">
        <v>0</v>
      </c>
      <c r="N354" t="inlineStr">
        <is>
          <t>alt</t>
        </is>
      </c>
      <c r="O354" t="n">
        <v>-25</v>
      </c>
      <c r="P354" t="n">
        <v>0.007202</v>
      </c>
      <c r="Q354" t="n">
        <v>0</v>
      </c>
      <c r="R354" t="n">
        <v>0</v>
      </c>
      <c r="S354">
        <f>IMAGE("https://mitra.stanford.edu/kundaje/oak/projects/neuro-variants/variant_position/credible/roussos_2024/variant_figures/roussos_2024.adolescence.Astrocyte/rs880329_count_position.png",4,220,900)</f>
        <v/>
      </c>
      <c r="T354">
        <f>IMAGE("https://mitra.stanford.edu/kundaje/oak/projects/neuro-variants/variant_position/credible/roussos_2024/variant_figures/roussos_2024.adolescence.Astrocyte/rs880329_profile_position.png",4,220,900)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0.09414420779999989</v>
      </c>
      <c r="G355" t="n">
        <v>0.1002149307439919</v>
      </c>
      <c r="H355" t="n">
        <v>0.0257845076288528</v>
      </c>
      <c r="I355" t="n">
        <v>0.0575877331063959</v>
      </c>
      <c r="J355" t="n">
        <v>0.0050870842358246</v>
      </c>
      <c r="K355" t="n">
        <v>0.7577049821414045</v>
      </c>
      <c r="L355" t="b">
        <v>0</v>
      </c>
      <c r="M355" t="b">
        <v>0</v>
      </c>
      <c r="N355" t="inlineStr">
        <is>
          <t>alt</t>
        </is>
      </c>
      <c r="O355" t="n">
        <v>45</v>
      </c>
      <c r="P355" t="n">
        <v>0.003815</v>
      </c>
      <c r="Q355" t="n">
        <v>20</v>
      </c>
      <c r="R355" t="n">
        <v>0.02454</v>
      </c>
      <c r="S355">
        <f>IMAGE("https://mitra.stanford.edu/kundaje/oak/projects/neuro-variants/variant_position/credible/roussos_2024/variant_figures/roussos_2024.adolescence.Astrocyte/rs12083455_count_position.png",4,220,900)</f>
        <v/>
      </c>
      <c r="T355">
        <f>IMAGE("https://mitra.stanford.edu/kundaje/oak/projects/neuro-variants/variant_position/credible/roussos_2024/variant_figures/roussos_2024.adolescence.Astrocyte/rs12083455_profile_position.png",4,220,900)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0.083379102</v>
      </c>
      <c r="G356" t="n">
        <v>0.1241384296384286</v>
      </c>
      <c r="H356" t="n">
        <v>0.0160399654559526</v>
      </c>
      <c r="I356" t="n">
        <v>0.2754228317641349</v>
      </c>
      <c r="J356" t="n">
        <v>0.0067649764115953</v>
      </c>
      <c r="K356" t="n">
        <v>0.7276171082898636</v>
      </c>
      <c r="L356" t="b">
        <v>0</v>
      </c>
      <c r="M356" t="b">
        <v>0</v>
      </c>
      <c r="N356" t="inlineStr">
        <is>
          <t>alt</t>
        </is>
      </c>
      <c r="O356" t="n">
        <v>10</v>
      </c>
      <c r="P356" t="n">
        <v>0.001144</v>
      </c>
      <c r="Q356" t="n">
        <v>-5</v>
      </c>
      <c r="R356" t="n">
        <v>0.01831</v>
      </c>
      <c r="S356">
        <f>IMAGE("https://mitra.stanford.edu/kundaje/oak/projects/neuro-variants/variant_position/credible/roussos_2024/variant_figures/roussos_2024.adolescence.Astrocyte/rs7512794_count_position.png",4,220,900)</f>
        <v/>
      </c>
      <c r="T356">
        <f>IMAGE("https://mitra.stanford.edu/kundaje/oak/projects/neuro-variants/variant_position/credible/roussos_2024/variant_figures/roussos_2024.adolescence.Astrocyte/rs7512794_profile_position.png",4,220,900)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0.292492626</v>
      </c>
      <c r="G357" t="n">
        <v>0.0067540468248766</v>
      </c>
      <c r="H357" t="n">
        <v>0.0336161059498479</v>
      </c>
      <c r="I357" t="n">
        <v>0.0210977265355645</v>
      </c>
      <c r="J357" t="n">
        <v>0.0140632881345873</v>
      </c>
      <c r="K357" t="n">
        <v>0.639713449937261</v>
      </c>
      <c r="L357" t="b">
        <v>1</v>
      </c>
      <c r="M357" t="b">
        <v>1</v>
      </c>
      <c r="N357" t="inlineStr">
        <is>
          <t>alt</t>
        </is>
      </c>
      <c r="O357" t="n">
        <v>-60</v>
      </c>
      <c r="P357" t="n">
        <v>0.013016</v>
      </c>
      <c r="Q357" t="n">
        <v>-60</v>
      </c>
      <c r="R357" t="n">
        <v>0.1844</v>
      </c>
      <c r="S357">
        <f>IMAGE("https://mitra.stanford.edu/kundaje/oak/projects/neuro-variants/variant_position/credible/roussos_2024/variant_figures/roussos_2024.adolescence.Astrocyte/rs7520068_count_position.png",4,220,900)</f>
        <v/>
      </c>
      <c r="T357">
        <f>IMAGE("https://mitra.stanford.edu/kundaje/oak/projects/neuro-variants/variant_position/credible/roussos_2024/variant_figures/roussos_2024.adolescence.Astrocyte/rs7520068_profile_position.png",4,220,900)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0.0559937767999999</v>
      </c>
      <c r="G358" t="n">
        <v>0.2010861385932615</v>
      </c>
      <c r="H358" t="n">
        <v>0.0187137713548656</v>
      </c>
      <c r="I358" t="n">
        <v>0.1686962326611657</v>
      </c>
      <c r="J358" t="n">
        <v>0.0023143340355457</v>
      </c>
      <c r="K358" t="n">
        <v>0.8163808996524651</v>
      </c>
      <c r="L358" t="b">
        <v>0</v>
      </c>
      <c r="M358" t="b">
        <v>0</v>
      </c>
      <c r="N358" t="inlineStr">
        <is>
          <t>alt</t>
        </is>
      </c>
      <c r="O358" t="n">
        <v>85</v>
      </c>
      <c r="P358" t="n">
        <v>0.003845</v>
      </c>
      <c r="Q358" t="n">
        <v>-65</v>
      </c>
      <c r="R358" t="n">
        <v>0.1307</v>
      </c>
      <c r="S358">
        <f>IMAGE("https://mitra.stanford.edu/kundaje/oak/projects/neuro-variants/variant_position/credible/roussos_2024/variant_figures/roussos_2024.adolescence.Astrocyte/rs7531956_count_position.png",4,220,900)</f>
        <v/>
      </c>
      <c r="T358">
        <f>IMAGE("https://mitra.stanford.edu/kundaje/oak/projects/neuro-variants/variant_position/credible/roussos_2024/variant_figures/roussos_2024.adolescence.Astrocyte/rs7531956_profile_position.png",4,220,900)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-0.005937900714</v>
      </c>
      <c r="G359" t="n">
        <v>0.8435484026084457</v>
      </c>
      <c r="H359" t="n">
        <v>0.0345388066544727</v>
      </c>
      <c r="I359" t="n">
        <v>0.0179816537691686</v>
      </c>
      <c r="J359" t="n">
        <v>7.269382547546571e-05</v>
      </c>
      <c r="K359" t="n">
        <v>0.9890863524471653</v>
      </c>
      <c r="L359" t="b">
        <v>0</v>
      </c>
      <c r="M359" t="b">
        <v>0</v>
      </c>
      <c r="N359" t="inlineStr">
        <is>
          <t>ref</t>
        </is>
      </c>
      <c r="O359" t="n">
        <v>-30</v>
      </c>
      <c r="P359" t="n">
        <v>0.01859</v>
      </c>
      <c r="Q359" t="n">
        <v>90</v>
      </c>
      <c r="R359" t="n">
        <v>0.02963</v>
      </c>
      <c r="S359">
        <f>IMAGE("https://mitra.stanford.edu/kundaje/oak/projects/neuro-variants/variant_position/credible/roussos_2024/variant_figures/roussos_2024.adolescence.Astrocyte/rs9428451_count_position.png",4,220,900)</f>
        <v/>
      </c>
      <c r="T359">
        <f>IMAGE("https://mitra.stanford.edu/kundaje/oak/projects/neuro-variants/variant_position/credible/roussos_2024/variant_figures/roussos_2024.adolescence.Astrocyte/rs9428451_profile_position.png",4,220,900)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0.0806437716</v>
      </c>
      <c r="G360" t="n">
        <v>0.1159331708160923</v>
      </c>
      <c r="H360" t="n">
        <v>0.0122712289360133</v>
      </c>
      <c r="I360" t="n">
        <v>0.5299877417847578</v>
      </c>
      <c r="J360" t="n">
        <v>0.0228303118416757</v>
      </c>
      <c r="K360" t="n">
        <v>0.5610925647500713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0.02997</v>
      </c>
      <c r="Q360" t="n">
        <v>70</v>
      </c>
      <c r="R360" t="n">
        <v>0.02896</v>
      </c>
      <c r="S360">
        <f>IMAGE("https://mitra.stanford.edu/kundaje/oak/projects/neuro-variants/variant_position/credible/roussos_2024/variant_figures/roussos_2024.adolescence.Astrocyte/rs12741781_count_position.png",4,220,900)</f>
        <v/>
      </c>
      <c r="T360">
        <f>IMAGE("https://mitra.stanford.edu/kundaje/oak/projects/neuro-variants/variant_position/credible/roussos_2024/variant_figures/roussos_2024.adolescence.Astrocyte/rs12741781_profile_position.png",4,220,900)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0.0839899824</v>
      </c>
      <c r="G361" t="n">
        <v>0.1258095070540905</v>
      </c>
      <c r="H361" t="n">
        <v>0.0133526726241388</v>
      </c>
      <c r="I361" t="n">
        <v>0.4379238601395719</v>
      </c>
      <c r="J361" t="n">
        <v>0.1299372459424976</v>
      </c>
      <c r="K361" t="n">
        <v>0.2770149468359943</v>
      </c>
      <c r="L361" t="b">
        <v>0</v>
      </c>
      <c r="M361" t="b">
        <v>0</v>
      </c>
      <c r="N361" t="inlineStr">
        <is>
          <t>alt</t>
        </is>
      </c>
      <c r="O361" t="n">
        <v>-25</v>
      </c>
      <c r="P361" t="n">
        <v>0.0013275</v>
      </c>
      <c r="Q361" t="n">
        <v>-30</v>
      </c>
      <c r="R361" t="n">
        <v>0.0376</v>
      </c>
      <c r="S361">
        <f>IMAGE("https://mitra.stanford.edu/kundaje/oak/projects/neuro-variants/variant_position/credible/roussos_2024/variant_figures/roussos_2024.adolescence.Astrocyte/rs2275154_count_position.png",4,220,900)</f>
        <v/>
      </c>
      <c r="T361">
        <f>IMAGE("https://mitra.stanford.edu/kundaje/oak/projects/neuro-variants/variant_position/credible/roussos_2024/variant_figures/roussos_2024.adolescence.Astrocyte/rs2275154_profile_position.png",4,220,900)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0.0489274361999999</v>
      </c>
      <c r="G362" t="n">
        <v>0.2340260031915318</v>
      </c>
      <c r="H362" t="n">
        <v>0.0114534049941398</v>
      </c>
      <c r="I362" t="n">
        <v>0.6048666537705714</v>
      </c>
      <c r="J362" t="n">
        <v>0.1881479393525798</v>
      </c>
      <c r="K362" t="n">
        <v>0.2151308899090915</v>
      </c>
      <c r="L362" t="b">
        <v>0</v>
      </c>
      <c r="M362" t="b">
        <v>0</v>
      </c>
      <c r="N362" t="inlineStr">
        <is>
          <t>alt</t>
        </is>
      </c>
      <c r="O362" t="n">
        <v>40</v>
      </c>
      <c r="P362" t="n">
        <v>0.002632</v>
      </c>
      <c r="Q362" t="n">
        <v>-70</v>
      </c>
      <c r="R362" t="n">
        <v>0.003052</v>
      </c>
      <c r="S362">
        <f>IMAGE("https://mitra.stanford.edu/kundaje/oak/projects/neuro-variants/variant_position/credible/roussos_2024/variant_figures/roussos_2024.adolescence.Astrocyte/rs884328_count_position.png",4,220,900)</f>
        <v/>
      </c>
      <c r="T362">
        <f>IMAGE("https://mitra.stanford.edu/kundaje/oak/projects/neuro-variants/variant_position/credible/roussos_2024/variant_figures/roussos_2024.adolescence.Astrocyte/rs884328_profile_position.png",4,220,900)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0.0130497691</v>
      </c>
      <c r="G363" t="n">
        <v>0.6650115349232102</v>
      </c>
      <c r="H363" t="n">
        <v>0.0115284111319339</v>
      </c>
      <c r="I363" t="n">
        <v>0.5946672273263057</v>
      </c>
      <c r="J363" t="n">
        <v>0.0281681155980179</v>
      </c>
      <c r="K363" t="n">
        <v>0.5269160802383781</v>
      </c>
      <c r="L363" t="b">
        <v>0</v>
      </c>
      <c r="M363" t="b">
        <v>0</v>
      </c>
      <c r="N363" t="inlineStr">
        <is>
          <t>alt</t>
        </is>
      </c>
      <c r="O363" t="n">
        <v>-100</v>
      </c>
      <c r="P363" t="n">
        <v>0.002079</v>
      </c>
      <c r="Q363" t="n">
        <v>50</v>
      </c>
      <c r="R363" t="n">
        <v>0.06116</v>
      </c>
      <c r="S363">
        <f>IMAGE("https://mitra.stanford.edu/kundaje/oak/projects/neuro-variants/variant_position/credible/roussos_2024/variant_figures/roussos_2024.adolescence.Astrocyte/rs1352162_count_position.png",4,220,900)</f>
        <v/>
      </c>
      <c r="T363">
        <f>IMAGE("https://mitra.stanford.edu/kundaje/oak/projects/neuro-variants/variant_position/credible/roussos_2024/variant_figures/roussos_2024.adolescence.Astrocyte/rs1352162_profile_position.png",4,220,900)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0.0576894386</v>
      </c>
      <c r="G364" t="n">
        <v>0.1860045632683633</v>
      </c>
      <c r="H364" t="n">
        <v>0.0167421226279876</v>
      </c>
      <c r="I364" t="n">
        <v>0.2351081931174176</v>
      </c>
      <c r="J364" t="n">
        <v>0.0002751980535857</v>
      </c>
      <c r="K364" t="n">
        <v>0.9449564141163092</v>
      </c>
      <c r="L364" t="b">
        <v>0</v>
      </c>
      <c r="M364" t="b">
        <v>0</v>
      </c>
      <c r="N364" t="inlineStr">
        <is>
          <t>alt</t>
        </is>
      </c>
      <c r="O364" t="n">
        <v>-35</v>
      </c>
      <c r="P364" t="n">
        <v>0.002258</v>
      </c>
      <c r="Q364" t="n">
        <v>95</v>
      </c>
      <c r="R364" t="n">
        <v>0.09717000000000001</v>
      </c>
      <c r="S364">
        <f>IMAGE("https://mitra.stanford.edu/kundaje/oak/projects/neuro-variants/variant_position/credible/roussos_2024/variant_figures/roussos_2024.adolescence.Astrocyte/rs145071536_count_position.png",4,220,900)</f>
        <v/>
      </c>
      <c r="T364">
        <f>IMAGE("https://mitra.stanford.edu/kundaje/oak/projects/neuro-variants/variant_position/credible/roussos_2024/variant_figures/roussos_2024.adolescence.Astrocyte/rs145071536_profile_position.png",4,220,900)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0.01337940441</v>
      </c>
      <c r="G365" t="n">
        <v>0.6709942160618486</v>
      </c>
      <c r="H365" t="n">
        <v>0.0268612932321053</v>
      </c>
      <c r="I365" t="n">
        <v>0.0480801080786121</v>
      </c>
      <c r="J365" t="n">
        <v>0.0104130196124973</v>
      </c>
      <c r="K365" t="n">
        <v>0.6826864931042862</v>
      </c>
      <c r="L365" t="b">
        <v>0</v>
      </c>
      <c r="M365" t="b">
        <v>0</v>
      </c>
      <c r="N365" t="inlineStr">
        <is>
          <t>alt</t>
        </is>
      </c>
      <c r="O365" t="n">
        <v>-85</v>
      </c>
      <c r="P365" t="n">
        <v>0.00465</v>
      </c>
      <c r="Q365" t="n">
        <v>100</v>
      </c>
      <c r="R365" t="n">
        <v>0.1257</v>
      </c>
      <c r="S365">
        <f>IMAGE("https://mitra.stanford.edu/kundaje/oak/projects/neuro-variants/variant_position/credible/roussos_2024/variant_figures/roussos_2024.adolescence.Astrocyte/rs11586029_count_position.png",4,220,900)</f>
        <v/>
      </c>
      <c r="T365">
        <f>IMAGE("https://mitra.stanford.edu/kundaje/oak/projects/neuro-variants/variant_position/credible/roussos_2024/variant_figures/roussos_2024.adolescence.Astrocyte/rs11586029_profile_position.png",4,220,900)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0.0284626217999999</v>
      </c>
      <c r="G366" t="n">
        <v>0.4125578123638945</v>
      </c>
      <c r="H366" t="n">
        <v>0.0204192819624489</v>
      </c>
      <c r="I366" t="n">
        <v>0.1268810121789164</v>
      </c>
      <c r="J366" t="n">
        <v>0.0084703142153517</v>
      </c>
      <c r="K366" t="n">
        <v>0.6880042890210932</v>
      </c>
      <c r="L366" t="b">
        <v>0</v>
      </c>
      <c r="M366" t="b">
        <v>0</v>
      </c>
      <c r="N366" t="inlineStr">
        <is>
          <t>alt</t>
        </is>
      </c>
      <c r="O366" t="n">
        <v>35</v>
      </c>
      <c r="P366" t="n">
        <v>0.01678</v>
      </c>
      <c r="Q366" t="n">
        <v>20</v>
      </c>
      <c r="R366" t="n">
        <v>0.0631</v>
      </c>
      <c r="S366">
        <f>IMAGE("https://mitra.stanford.edu/kundaje/oak/projects/neuro-variants/variant_position/credible/roussos_2024/variant_figures/roussos_2024.adolescence.Astrocyte/rs61833239_count_position.png",4,220,900)</f>
        <v/>
      </c>
      <c r="T366">
        <f>IMAGE("https://mitra.stanford.edu/kundaje/oak/projects/neuro-variants/variant_position/credible/roussos_2024/variant_figures/roussos_2024.adolescence.Astrocyte/rs61833239_profile_position.png",4,220,900)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-0.053516939906</v>
      </c>
      <c r="G367" t="n">
        <v>0.2172958124015586</v>
      </c>
      <c r="H367" t="n">
        <v>0.0206476726075649</v>
      </c>
      <c r="I367" t="n">
        <v>0.1277230833298606</v>
      </c>
      <c r="J367" t="n">
        <v>0.2658754413553689</v>
      </c>
      <c r="K367" t="n">
        <v>0.1544487862730157</v>
      </c>
      <c r="L367" t="b">
        <v>0</v>
      </c>
      <c r="M367" t="b">
        <v>0</v>
      </c>
      <c r="N367" t="inlineStr">
        <is>
          <t>ref</t>
        </is>
      </c>
      <c r="O367" t="n">
        <v>-95</v>
      </c>
      <c r="P367" t="n">
        <v>0.009429999999999999</v>
      </c>
      <c r="Q367" t="n">
        <v>5</v>
      </c>
      <c r="R367" t="n">
        <v>0.00708</v>
      </c>
      <c r="S367">
        <f>IMAGE("https://mitra.stanford.edu/kundaje/oak/projects/neuro-variants/variant_position/credible/roussos_2024/variant_figures/roussos_2024.adolescence.Astrocyte/rs1043003_count_position.png",4,220,900)</f>
        <v/>
      </c>
      <c r="T367">
        <f>IMAGE("https://mitra.stanford.edu/kundaje/oak/projects/neuro-variants/variant_position/credible/roussos_2024/variant_figures/roussos_2024.adolescence.Astrocyte/rs1043003_profile_position.png",4,220,900)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0.00239638582</v>
      </c>
      <c r="G368" t="n">
        <v>0.728300078006647</v>
      </c>
      <c r="H368" t="n">
        <v>0.0338795087937359</v>
      </c>
      <c r="I368" t="n">
        <v>0.019039168236501</v>
      </c>
      <c r="J368" t="n">
        <v>0.0060573242738034</v>
      </c>
      <c r="K368" t="n">
        <v>0.7165197613513888</v>
      </c>
      <c r="L368" t="b">
        <v>0</v>
      </c>
      <c r="M368" t="b">
        <v>0</v>
      </c>
      <c r="N368" t="inlineStr">
        <is>
          <t>alt</t>
        </is>
      </c>
      <c r="O368" t="n">
        <v>-45</v>
      </c>
      <c r="P368" t="n">
        <v>0.0005493</v>
      </c>
      <c r="Q368" t="n">
        <v>100</v>
      </c>
      <c r="R368" t="n">
        <v>0.03455</v>
      </c>
      <c r="S368">
        <f>IMAGE("https://mitra.stanford.edu/kundaje/oak/projects/neuro-variants/variant_position/credible/roussos_2024/variant_figures/roussos_2024.adolescence.Astrocyte/rs11014167_count_position.png",4,220,900)</f>
        <v/>
      </c>
      <c r="T368">
        <f>IMAGE("https://mitra.stanford.edu/kundaje/oak/projects/neuro-variants/variant_position/credible/roussos_2024/variant_figures/roussos_2024.adolescence.Astrocyte/rs11014167_profile_position.png",4,220,900)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-0.058672592</v>
      </c>
      <c r="G369" t="n">
        <v>0.2158013877732207</v>
      </c>
      <c r="H369" t="n">
        <v>0.0145858571982625</v>
      </c>
      <c r="I369" t="n">
        <v>0.3482188612723388</v>
      </c>
      <c r="J369" t="n">
        <v>0.1519998219743049</v>
      </c>
      <c r="K369" t="n">
        <v>0.2609730445131157</v>
      </c>
      <c r="L369" t="b">
        <v>0</v>
      </c>
      <c r="M369" t="b">
        <v>0</v>
      </c>
      <c r="N369" t="inlineStr">
        <is>
          <t>ref</t>
        </is>
      </c>
      <c r="O369" t="n">
        <v>95</v>
      </c>
      <c r="P369" t="n">
        <v>0.00699</v>
      </c>
      <c r="Q369" t="n">
        <v>95</v>
      </c>
      <c r="R369" t="n">
        <v>0.09814000000000001</v>
      </c>
      <c r="S369">
        <f>IMAGE("https://mitra.stanford.edu/kundaje/oak/projects/neuro-variants/variant_position/credible/roussos_2024/variant_figures/roussos_2024.adolescence.Astrocyte/rs640729_count_position.png",4,220,900)</f>
        <v/>
      </c>
      <c r="T369">
        <f>IMAGE("https://mitra.stanford.edu/kundaje/oak/projects/neuro-variants/variant_position/credible/roussos_2024/variant_figures/roussos_2024.adolescence.Astrocyte/rs640729_profile_position.png",4,220,900)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0.0140358506599999</v>
      </c>
      <c r="G370" t="n">
        <v>0.6613978216785855</v>
      </c>
      <c r="H370" t="n">
        <v>0.0087950016645641</v>
      </c>
      <c r="I370" t="n">
        <v>0.8517138715295276</v>
      </c>
      <c r="J370" t="n">
        <v>0.0003760792807761</v>
      </c>
      <c r="K370" t="n">
        <v>0.9340324334045318</v>
      </c>
      <c r="L370" t="b">
        <v>0</v>
      </c>
      <c r="M370" t="b">
        <v>0</v>
      </c>
      <c r="N370" t="inlineStr">
        <is>
          <t>alt</t>
        </is>
      </c>
      <c r="O370" t="n">
        <v>-35</v>
      </c>
      <c r="P370" t="n">
        <v>0.004288</v>
      </c>
      <c r="Q370" t="n">
        <v>95</v>
      </c>
      <c r="R370" t="n">
        <v>0.2988</v>
      </c>
      <c r="S370">
        <f>IMAGE("https://mitra.stanford.edu/kundaje/oak/projects/neuro-variants/variant_position/credible/roussos_2024/variant_figures/roussos_2024.adolescence.Astrocyte/rs663759_count_position.png",4,220,900)</f>
        <v/>
      </c>
      <c r="T370">
        <f>IMAGE("https://mitra.stanford.edu/kundaje/oak/projects/neuro-variants/variant_position/credible/roussos_2024/variant_figures/roussos_2024.adolescence.Astrocyte/rs663759_profile_position.png",4,220,900)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-0.4402298659999999</v>
      </c>
      <c r="G371" t="n">
        <v>0.0019053140582862</v>
      </c>
      <c r="H371" t="n">
        <v>0.0539353410129856</v>
      </c>
      <c r="I371" t="n">
        <v>0.0029396407393309</v>
      </c>
      <c r="J371" t="n">
        <v>0.0361785301011778</v>
      </c>
      <c r="K371" t="n">
        <v>0.4884579539414799</v>
      </c>
      <c r="L371" t="b">
        <v>1</v>
      </c>
      <c r="M371" t="b">
        <v>1</v>
      </c>
      <c r="N371" t="inlineStr">
        <is>
          <t>ref</t>
        </is>
      </c>
      <c r="O371" t="n">
        <v>15</v>
      </c>
      <c r="P371" t="n">
        <v>0.00525</v>
      </c>
      <c r="Q371" t="n">
        <v>15</v>
      </c>
      <c r="R371" t="n">
        <v>0.03418</v>
      </c>
      <c r="S371">
        <f>IMAGE("https://mitra.stanford.edu/kundaje/oak/projects/neuro-variants/variant_position/credible/roussos_2024/variant_figures/roussos_2024.adolescence.Astrocyte/rs602572_count_position.png",4,220,900)</f>
        <v/>
      </c>
      <c r="T371">
        <f>IMAGE("https://mitra.stanford.edu/kundaje/oak/projects/neuro-variants/variant_position/credible/roussos_2024/variant_figures/roussos_2024.adolescence.Astrocyte/rs602572_profile_position.png",4,220,900)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0.134583132</v>
      </c>
      <c r="G372" t="n">
        <v>0.0477917206383928</v>
      </c>
      <c r="H372" t="n">
        <v>0.0203591081210813</v>
      </c>
      <c r="I372" t="n">
        <v>0.12886295590522</v>
      </c>
      <c r="J372" t="n">
        <v>0.2872748716731448</v>
      </c>
      <c r="K372" t="n">
        <v>0.1409520138823771</v>
      </c>
      <c r="L372" t="b">
        <v>0</v>
      </c>
      <c r="M372" t="b">
        <v>0</v>
      </c>
      <c r="N372" t="inlineStr">
        <is>
          <t>alt</t>
        </is>
      </c>
      <c r="O372" t="n">
        <v>-95</v>
      </c>
      <c r="P372" t="n">
        <v>0.007706</v>
      </c>
      <c r="Q372" t="n">
        <v>-60</v>
      </c>
      <c r="R372" t="n">
        <v>0.08495999999999999</v>
      </c>
      <c r="S372">
        <f>IMAGE("https://mitra.stanford.edu/kundaje/oak/projects/neuro-variants/variant_position/credible/roussos_2024/variant_figures/roussos_2024.adolescence.Astrocyte/rs10994321_count_position.png",4,220,900)</f>
        <v/>
      </c>
      <c r="T372">
        <f>IMAGE("https://mitra.stanford.edu/kundaje/oak/projects/neuro-variants/variant_position/credible/roussos_2024/variant_figures/roussos_2024.adolescence.Astrocyte/rs10994321_profile_position.png",4,220,900)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0.2155940132</v>
      </c>
      <c r="G373" t="n">
        <v>0.0165309354844637</v>
      </c>
      <c r="H373" t="n">
        <v>0.0304757833262541</v>
      </c>
      <c r="I373" t="n">
        <v>0.031643837662746</v>
      </c>
      <c r="J373" t="n">
        <v>0.06699551968667471</v>
      </c>
      <c r="K373" t="n">
        <v>0.3904547067959376</v>
      </c>
      <c r="L373" t="b">
        <v>1</v>
      </c>
      <c r="M373" t="b">
        <v>0</v>
      </c>
      <c r="N373" t="inlineStr">
        <is>
          <t>alt</t>
        </is>
      </c>
      <c r="O373" t="n">
        <v>-55</v>
      </c>
      <c r="P373" t="n">
        <v>0.00634</v>
      </c>
      <c r="Q373" t="n">
        <v>-55</v>
      </c>
      <c r="R373" t="n">
        <v>0.08813</v>
      </c>
      <c r="S373">
        <f>IMAGE("https://mitra.stanford.edu/kundaje/oak/projects/neuro-variants/variant_position/credible/roussos_2024/variant_figures/roussos_2024.adolescence.Astrocyte/rs10994336_count_position.png",4,220,900)</f>
        <v/>
      </c>
      <c r="T373">
        <f>IMAGE("https://mitra.stanford.edu/kundaje/oak/projects/neuro-variants/variant_position/credible/roussos_2024/variant_figures/roussos_2024.adolescence.Astrocyte/rs10994336_profile_position.png",4,220,900)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0.033967126</v>
      </c>
      <c r="G374" t="n">
        <v>0.38298291024279</v>
      </c>
      <c r="H374" t="n">
        <v>0.0114913707944821</v>
      </c>
      <c r="I374" t="n">
        <v>0.6101333290587234</v>
      </c>
      <c r="J374" t="n">
        <v>0.0064141174376167</v>
      </c>
      <c r="K374" t="n">
        <v>0.7171749444973358</v>
      </c>
      <c r="L374" t="b">
        <v>0</v>
      </c>
      <c r="M374" t="b">
        <v>0</v>
      </c>
      <c r="N374" t="inlineStr">
        <is>
          <t>alt</t>
        </is>
      </c>
      <c r="O374" t="n">
        <v>100</v>
      </c>
      <c r="P374" t="n">
        <v>0.0166</v>
      </c>
      <c r="Q374" t="n">
        <v>70</v>
      </c>
      <c r="R374" t="n">
        <v>0.02774</v>
      </c>
      <c r="S374">
        <f>IMAGE("https://mitra.stanford.edu/kundaje/oak/projects/neuro-variants/variant_position/credible/roussos_2024/variant_figures/roussos_2024.adolescence.Astrocyte/rs10994337_count_position.png",4,220,900)</f>
        <v/>
      </c>
      <c r="T374">
        <f>IMAGE("https://mitra.stanford.edu/kundaje/oak/projects/neuro-variants/variant_position/credible/roussos_2024/variant_figures/roussos_2024.adolescence.Astrocyte/rs10994337_profile_position.png",4,220,900)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-0.090510679</v>
      </c>
      <c r="G375" t="n">
        <v>0.1249262586458101</v>
      </c>
      <c r="H375" t="n">
        <v>0.0215376755601104</v>
      </c>
      <c r="I375" t="n">
        <v>0.1205210984851194</v>
      </c>
      <c r="J375" t="n">
        <v>0.180572204254814</v>
      </c>
      <c r="K375" t="n">
        <v>0.2253211688633764</v>
      </c>
      <c r="L375" t="b">
        <v>0</v>
      </c>
      <c r="M375" t="b">
        <v>0</v>
      </c>
      <c r="N375" t="inlineStr">
        <is>
          <t>ref</t>
        </is>
      </c>
      <c r="O375" t="n">
        <v>-100</v>
      </c>
      <c r="P375" t="n">
        <v>0.01648</v>
      </c>
      <c r="Q375" t="n">
        <v>60</v>
      </c>
      <c r="R375" t="n">
        <v>0.2537</v>
      </c>
      <c r="S375">
        <f>IMAGE("https://mitra.stanford.edu/kundaje/oak/projects/neuro-variants/variant_position/credible/roussos_2024/variant_figures/roussos_2024.adolescence.Astrocyte/rs61847646_count_position.png",4,220,900)</f>
        <v/>
      </c>
      <c r="T375">
        <f>IMAGE("https://mitra.stanford.edu/kundaje/oak/projects/neuro-variants/variant_position/credible/roussos_2024/variant_figures/roussos_2024.adolescence.Astrocyte/rs61847646_profile_position.png",4,220,900)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-0.0073036803799999</v>
      </c>
      <c r="G376" t="n">
        <v>0.8147589885541355</v>
      </c>
      <c r="H376" t="n">
        <v>0.0332167731653046</v>
      </c>
      <c r="I376" t="n">
        <v>0.0209288486810789</v>
      </c>
      <c r="J376" t="n">
        <v>0.0013618965670711</v>
      </c>
      <c r="K376" t="n">
        <v>0.8501802168986168</v>
      </c>
      <c r="L376" t="b">
        <v>0</v>
      </c>
      <c r="M376" t="b">
        <v>0</v>
      </c>
      <c r="N376" t="inlineStr">
        <is>
          <t>ref</t>
        </is>
      </c>
      <c r="O376" t="n">
        <v>-10</v>
      </c>
      <c r="P376" t="n">
        <v>0.004578</v>
      </c>
      <c r="Q376" t="n">
        <v>0</v>
      </c>
      <c r="R376" t="n">
        <v>0</v>
      </c>
      <c r="S376">
        <f>IMAGE("https://mitra.stanford.edu/kundaje/oak/projects/neuro-variants/variant_position/credible/roussos_2024/variant_figures/roussos_2024.adolescence.Astrocyte/rs9633553_count_position.png",4,220,900)</f>
        <v/>
      </c>
      <c r="T376">
        <f>IMAGE("https://mitra.stanford.edu/kundaje/oak/projects/neuro-variants/variant_position/credible/roussos_2024/variant_figures/roussos_2024.adolescence.Astrocyte/rs9633553_profile_position.png",4,220,900)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-0.121388182</v>
      </c>
      <c r="G377" t="n">
        <v>0.0613673509466921</v>
      </c>
      <c r="H377" t="n">
        <v>0.0141934666736817</v>
      </c>
      <c r="I377" t="n">
        <v>0.3657960090750249</v>
      </c>
      <c r="J377" t="n">
        <v>0.0605517312998842</v>
      </c>
      <c r="K377" t="n">
        <v>0.4049926410180722</v>
      </c>
      <c r="L377" t="b">
        <v>0</v>
      </c>
      <c r="M377" t="b">
        <v>0</v>
      </c>
      <c r="N377" t="inlineStr">
        <is>
          <t>ref</t>
        </is>
      </c>
      <c r="O377" t="n">
        <v>-85</v>
      </c>
      <c r="P377" t="n">
        <v>0.00625</v>
      </c>
      <c r="Q377" t="n">
        <v>-20</v>
      </c>
      <c r="R377" t="n">
        <v>0.0293</v>
      </c>
      <c r="S377">
        <f>IMAGE("https://mitra.stanford.edu/kundaje/oak/projects/neuro-variants/variant_position/credible/roussos_2024/variant_figures/roussos_2024.adolescence.Astrocyte/rs10821789_count_position.png",4,220,900)</f>
        <v/>
      </c>
      <c r="T377">
        <f>IMAGE("https://mitra.stanford.edu/kundaje/oak/projects/neuro-variants/variant_position/credible/roussos_2024/variant_figures/roussos_2024.adolescence.Astrocyte/rs10821789_profile_position.png",4,220,900)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0.0443557458</v>
      </c>
      <c r="G378" t="n">
        <v>0.2622065365550075</v>
      </c>
      <c r="H378" t="n">
        <v>0.0110900068914121</v>
      </c>
      <c r="I378" t="n">
        <v>0.6346566360730334</v>
      </c>
      <c r="J378" t="n">
        <v>0.1795010829896448</v>
      </c>
      <c r="K378" t="n">
        <v>0.2219345049051284</v>
      </c>
      <c r="L378" t="b">
        <v>0</v>
      </c>
      <c r="M378" t="b">
        <v>0</v>
      </c>
      <c r="N378" t="inlineStr">
        <is>
          <t>alt</t>
        </is>
      </c>
      <c r="O378" t="n">
        <v>100</v>
      </c>
      <c r="P378" t="n">
        <v>0.01522</v>
      </c>
      <c r="Q378" t="n">
        <v>-100</v>
      </c>
      <c r="R378" t="n">
        <v>0.1565</v>
      </c>
      <c r="S378">
        <f>IMAGE("https://mitra.stanford.edu/kundaje/oak/projects/neuro-variants/variant_position/credible/roussos_2024/variant_figures/roussos_2024.adolescence.Astrocyte/rs7915640_count_position.png",4,220,900)</f>
        <v/>
      </c>
      <c r="T378">
        <f>IMAGE("https://mitra.stanford.edu/kundaje/oak/projects/neuro-variants/variant_position/credible/roussos_2024/variant_figures/roussos_2024.adolescence.Astrocyte/rs7915640_profile_position.png",4,220,900)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-0.3480705279999999</v>
      </c>
      <c r="G379" t="n">
        <v>0.0040819288346394</v>
      </c>
      <c r="H379" t="n">
        <v>0.0259273302318833</v>
      </c>
      <c r="I379" t="n">
        <v>0.0562109222120494</v>
      </c>
      <c r="J379" t="n">
        <v>0.7876969409251402</v>
      </c>
      <c r="K379" t="n">
        <v>0.0091764194803128</v>
      </c>
      <c r="L379" t="b">
        <v>1</v>
      </c>
      <c r="M379" t="b">
        <v>1</v>
      </c>
      <c r="N379" t="inlineStr">
        <is>
          <t>ref</t>
        </is>
      </c>
      <c r="O379" t="n">
        <v>20</v>
      </c>
      <c r="P379" t="n">
        <v>0.00659</v>
      </c>
      <c r="Q379" t="n">
        <v>55</v>
      </c>
      <c r="R379" t="n">
        <v>0.1816</v>
      </c>
      <c r="S379">
        <f>IMAGE("https://mitra.stanford.edu/kundaje/oak/projects/neuro-variants/variant_position/credible/roussos_2024/variant_figures/roussos_2024.adolescence.Astrocyte/rs10740096_count_position.png",4,220,900)</f>
        <v/>
      </c>
      <c r="T379">
        <f>IMAGE("https://mitra.stanford.edu/kundaje/oak/projects/neuro-variants/variant_position/credible/roussos_2024/variant_figures/roussos_2024.adolescence.Astrocyte/rs10740096_profile_position.png",4,220,900)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-0.0630887598</v>
      </c>
      <c r="G380" t="n">
        <v>0.1822459767367171</v>
      </c>
      <c r="H380" t="n">
        <v>0.0148926967460393</v>
      </c>
      <c r="I380" t="n">
        <v>0.3333702772312745</v>
      </c>
      <c r="J380" t="n">
        <v>0.0205686437409132</v>
      </c>
      <c r="K380" t="n">
        <v>0.5723270551342505</v>
      </c>
      <c r="L380" t="b">
        <v>0</v>
      </c>
      <c r="M380" t="b">
        <v>0</v>
      </c>
      <c r="N380" t="inlineStr">
        <is>
          <t>ref</t>
        </is>
      </c>
      <c r="O380" t="n">
        <v>90</v>
      </c>
      <c r="P380" t="n">
        <v>0.00322</v>
      </c>
      <c r="Q380" t="n">
        <v>100</v>
      </c>
      <c r="R380" t="n">
        <v>0.166</v>
      </c>
      <c r="S380">
        <f>IMAGE("https://mitra.stanford.edu/kundaje/oak/projects/neuro-variants/variant_position/credible/roussos_2024/variant_figures/roussos_2024.adolescence.Astrocyte/rs10822098_count_position.png",4,220,900)</f>
        <v/>
      </c>
      <c r="T380">
        <f>IMAGE("https://mitra.stanford.edu/kundaje/oak/projects/neuro-variants/variant_position/credible/roussos_2024/variant_figures/roussos_2024.adolescence.Astrocyte/rs10822098_profile_position.png",4,220,900)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0.00593182</v>
      </c>
      <c r="G381" t="n">
        <v>0.7974293378481905</v>
      </c>
      <c r="H381" t="n">
        <v>0.0055889597838121</v>
      </c>
      <c r="I381" t="n">
        <v>0.998304130215488</v>
      </c>
      <c r="J381" t="n">
        <v>0.0664666350176541</v>
      </c>
      <c r="K381" t="n">
        <v>0.3897600677781466</v>
      </c>
      <c r="L381" t="b">
        <v>0</v>
      </c>
      <c r="M381" t="b">
        <v>0</v>
      </c>
      <c r="N381" t="inlineStr">
        <is>
          <t>alt</t>
        </is>
      </c>
      <c r="O381" t="n">
        <v>-100</v>
      </c>
      <c r="P381" t="n">
        <v>0.007385</v>
      </c>
      <c r="Q381" t="n">
        <v>-50</v>
      </c>
      <c r="R381" t="n">
        <v>0.05435</v>
      </c>
      <c r="S381">
        <f>IMAGE("https://mitra.stanford.edu/kundaje/oak/projects/neuro-variants/variant_position/credible/roussos_2024/variant_figures/roussos_2024.adolescence.Astrocyte/rs10761684_count_position.png",4,220,900)</f>
        <v/>
      </c>
      <c r="T381">
        <f>IMAGE("https://mitra.stanford.edu/kundaje/oak/projects/neuro-variants/variant_position/credible/roussos_2024/variant_figures/roussos_2024.adolescence.Astrocyte/rs10761684_profile_position.png",4,220,900)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0.0240788748</v>
      </c>
      <c r="G382" t="n">
        <v>0.4688786698388026</v>
      </c>
      <c r="H382" t="n">
        <v>0.0172832191681576</v>
      </c>
      <c r="I382" t="n">
        <v>0.2153972186774425</v>
      </c>
      <c r="J382" t="n">
        <v>0.0480083375367177</v>
      </c>
      <c r="K382" t="n">
        <v>0.4683711317419892</v>
      </c>
      <c r="L382" t="b">
        <v>0</v>
      </c>
      <c r="M382" t="b">
        <v>0</v>
      </c>
      <c r="N382" t="inlineStr">
        <is>
          <t>alt</t>
        </is>
      </c>
      <c r="O382" t="n">
        <v>80</v>
      </c>
      <c r="P382" t="n">
        <v>0.02908</v>
      </c>
      <c r="Q382" t="n">
        <v>100</v>
      </c>
      <c r="R382" t="n">
        <v>0.1108</v>
      </c>
      <c r="S382">
        <f>IMAGE("https://mitra.stanford.edu/kundaje/oak/projects/neuro-variants/variant_position/credible/roussos_2024/variant_figures/roussos_2024.adolescence.Astrocyte/rs73300318_count_position.png",4,220,900)</f>
        <v/>
      </c>
      <c r="T382">
        <f>IMAGE("https://mitra.stanford.edu/kundaje/oak/projects/neuro-variants/variant_position/credible/roussos_2024/variant_figures/roussos_2024.adolescence.Astrocyte/rs73300318_profile_position.png",4,220,900)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0.0149484402</v>
      </c>
      <c r="G383" t="n">
        <v>0.6321337441903455</v>
      </c>
      <c r="H383" t="n">
        <v>0.0100113989088739</v>
      </c>
      <c r="I383" t="n">
        <v>0.7624247278904323</v>
      </c>
      <c r="J383" t="n">
        <v>0.0052762365368067</v>
      </c>
      <c r="K383" t="n">
        <v>0.7317915739815959</v>
      </c>
      <c r="L383" t="b">
        <v>0</v>
      </c>
      <c r="M383" t="b">
        <v>0</v>
      </c>
      <c r="N383" t="inlineStr">
        <is>
          <t>alt</t>
        </is>
      </c>
      <c r="O383" t="n">
        <v>85</v>
      </c>
      <c r="P383" t="n">
        <v>0.003937</v>
      </c>
      <c r="Q383" t="n">
        <v>-95</v>
      </c>
      <c r="R383" t="n">
        <v>0.0737</v>
      </c>
      <c r="S383">
        <f>IMAGE("https://mitra.stanford.edu/kundaje/oak/projects/neuro-variants/variant_position/credible/roussos_2024/variant_figures/roussos_2024.adolescence.Astrocyte/rs10995385_count_position.png",4,220,900)</f>
        <v/>
      </c>
      <c r="T383">
        <f>IMAGE("https://mitra.stanford.edu/kundaje/oak/projects/neuro-variants/variant_position/credible/roussos_2024/variant_figures/roussos_2024.adolescence.Astrocyte/rs10995385_profile_position.png",4,220,900)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-0.0626343198</v>
      </c>
      <c r="G384" t="n">
        <v>0.1728901716132512</v>
      </c>
      <c r="H384" t="n">
        <v>0.0190485943428821</v>
      </c>
      <c r="I384" t="n">
        <v>0.159514539980194</v>
      </c>
      <c r="J384" t="n">
        <v>0.0102372192386433</v>
      </c>
      <c r="K384" t="n">
        <v>0.6602689018630121</v>
      </c>
      <c r="L384" t="b">
        <v>0</v>
      </c>
      <c r="M384" t="b">
        <v>0</v>
      </c>
      <c r="N384" t="inlineStr">
        <is>
          <t>ref</t>
        </is>
      </c>
      <c r="O384" t="n">
        <v>5</v>
      </c>
      <c r="P384" t="n">
        <v>0.0005493</v>
      </c>
      <c r="Q384" t="n">
        <v>50</v>
      </c>
      <c r="R384" t="n">
        <v>0.02603</v>
      </c>
      <c r="S384">
        <f>IMAGE("https://mitra.stanford.edu/kundaje/oak/projects/neuro-variants/variant_position/credible/roussos_2024/variant_figures/roussos_2024.adolescence.Astrocyte/rs113899647_count_position.png",4,220,900)</f>
        <v/>
      </c>
      <c r="T384">
        <f>IMAGE("https://mitra.stanford.edu/kundaje/oak/projects/neuro-variants/variant_position/credible/roussos_2024/variant_figures/roussos_2024.adolescence.Astrocyte/rs113899647_profile_position.png",4,220,900)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-0.27019704</v>
      </c>
      <c r="G385" t="n">
        <v>0.0088976253201167</v>
      </c>
      <c r="H385" t="n">
        <v>0.015198933357713</v>
      </c>
      <c r="I385" t="n">
        <v>0.3180643574814679</v>
      </c>
      <c r="J385" t="n">
        <v>0.9258189181971932</v>
      </c>
      <c r="K385" t="n">
        <v>0.0004614922235312</v>
      </c>
      <c r="L385" t="b">
        <v>1</v>
      </c>
      <c r="M385" t="b">
        <v>1</v>
      </c>
      <c r="N385" t="inlineStr">
        <is>
          <t>ref</t>
        </is>
      </c>
      <c r="O385" t="n">
        <v>-40</v>
      </c>
      <c r="P385" t="n">
        <v>0.01843</v>
      </c>
      <c r="Q385" t="n">
        <v>-15</v>
      </c>
      <c r="R385" t="n">
        <v>0.01367</v>
      </c>
      <c r="S385">
        <f>IMAGE("https://mitra.stanford.edu/kundaje/oak/projects/neuro-variants/variant_position/credible/roussos_2024/variant_figures/roussos_2024.adolescence.Astrocyte/rs59113396_count_position.png",4,220,900)</f>
        <v/>
      </c>
      <c r="T385">
        <f>IMAGE("https://mitra.stanford.edu/kundaje/oak/projects/neuro-variants/variant_position/credible/roussos_2024/variant_figures/roussos_2024.adolescence.Astrocyte/rs59113396_profile_position.png",4,220,900)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-0.320632262</v>
      </c>
      <c r="G386" t="n">
        <v>0.0051028092962919</v>
      </c>
      <c r="H386" t="n">
        <v>0.0417401374722178</v>
      </c>
      <c r="I386" t="n">
        <v>0.008640431302711801</v>
      </c>
      <c r="J386" t="n">
        <v>0.2680495801560691</v>
      </c>
      <c r="K386" t="n">
        <v>0.1529591624388659</v>
      </c>
      <c r="L386" t="b">
        <v>1</v>
      </c>
      <c r="M386" t="b">
        <v>1</v>
      </c>
      <c r="N386" t="inlineStr">
        <is>
          <t>ref</t>
        </is>
      </c>
      <c r="O386" t="n">
        <v>100</v>
      </c>
      <c r="P386" t="n">
        <v>0.009186</v>
      </c>
      <c r="Q386" t="n">
        <v>-100</v>
      </c>
      <c r="R386" t="n">
        <v>0.1084</v>
      </c>
      <c r="S386">
        <f>IMAGE("https://mitra.stanford.edu/kundaje/oak/projects/neuro-variants/variant_position/credible/roussos_2024/variant_figures/roussos_2024.adolescence.Astrocyte/rs16918239_count_position.png",4,220,900)</f>
        <v/>
      </c>
      <c r="T386">
        <f>IMAGE("https://mitra.stanford.edu/kundaje/oak/projects/neuro-variants/variant_position/credible/roussos_2024/variant_figures/roussos_2024.adolescence.Astrocyte/rs16918239_profile_position.png",4,220,900)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-0.351790326</v>
      </c>
      <c r="G387" t="n">
        <v>0.0043588974738641</v>
      </c>
      <c r="H387" t="n">
        <v>0.0309314389554676</v>
      </c>
      <c r="I387" t="n">
        <v>0.0308986991570699</v>
      </c>
      <c r="J387" t="n">
        <v>0.3122377829866777</v>
      </c>
      <c r="K387" t="n">
        <v>0.1265213601943994</v>
      </c>
      <c r="L387" t="b">
        <v>1</v>
      </c>
      <c r="M387" t="b">
        <v>1</v>
      </c>
      <c r="N387" t="inlineStr">
        <is>
          <t>ref</t>
        </is>
      </c>
      <c r="O387" t="n">
        <v>-55</v>
      </c>
      <c r="P387" t="n">
        <v>0.002739</v>
      </c>
      <c r="Q387" t="n">
        <v>-55</v>
      </c>
      <c r="R387" t="n">
        <v>0.11035</v>
      </c>
      <c r="S387">
        <f>IMAGE("https://mitra.stanford.edu/kundaje/oak/projects/neuro-variants/variant_position/credible/roussos_2024/variant_figures/roussos_2024.adolescence.Astrocyte/rs74557321_count_position.png",4,220,900)</f>
        <v/>
      </c>
      <c r="T387">
        <f>IMAGE("https://mitra.stanford.edu/kundaje/oak/projects/neuro-variants/variant_position/credible/roussos_2024/variant_figures/roussos_2024.adolescence.Astrocyte/rs74557321_profile_position.png",4,220,900)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-0.01280177746</v>
      </c>
      <c r="G388" t="n">
        <v>0.4694433046675418</v>
      </c>
      <c r="H388" t="n">
        <v>0.0438562408874588</v>
      </c>
      <c r="I388" t="n">
        <v>0.0067960892278241</v>
      </c>
      <c r="J388" t="n">
        <v>0.0155379343085184</v>
      </c>
      <c r="K388" t="n">
        <v>0.6079265787210303</v>
      </c>
      <c r="L388" t="b">
        <v>1</v>
      </c>
      <c r="M388" t="b">
        <v>0</v>
      </c>
      <c r="N388" t="inlineStr">
        <is>
          <t>ref</t>
        </is>
      </c>
      <c r="O388" t="n">
        <v>-70</v>
      </c>
      <c r="P388" t="n">
        <v>0.009155</v>
      </c>
      <c r="Q388" t="n">
        <v>-60</v>
      </c>
      <c r="R388" t="n">
        <v>0.01929</v>
      </c>
      <c r="S388">
        <f>IMAGE("https://mitra.stanford.edu/kundaje/oak/projects/neuro-variants/variant_position/credible/roussos_2024/variant_figures/roussos_2024.adolescence.Astrocyte/rs112637649_count_position.png",4,220,900)</f>
        <v/>
      </c>
      <c r="T388">
        <f>IMAGE("https://mitra.stanford.edu/kundaje/oak/projects/neuro-variants/variant_position/credible/roussos_2024/variant_figures/roussos_2024.adolescence.Astrocyte/rs112637649_profile_position.png",4,220,900)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0.026800462</v>
      </c>
      <c r="G389" t="n">
        <v>0.4452087808917881</v>
      </c>
      <c r="H389" t="n">
        <v>0.0451154504656919</v>
      </c>
      <c r="I389" t="n">
        <v>0.0060519465093761</v>
      </c>
      <c r="J389" t="n">
        <v>0.0013396433551908</v>
      </c>
      <c r="K389" t="n">
        <v>0.8595966286050218</v>
      </c>
      <c r="L389" t="b">
        <v>0</v>
      </c>
      <c r="M389" t="b">
        <v>0</v>
      </c>
      <c r="N389" t="inlineStr">
        <is>
          <t>alt</t>
        </is>
      </c>
      <c r="O389" t="n">
        <v>-100</v>
      </c>
      <c r="P389" t="n">
        <v>0.01666</v>
      </c>
      <c r="Q389" t="n">
        <v>-100</v>
      </c>
      <c r="R389" t="n">
        <v>0.10455</v>
      </c>
      <c r="S389">
        <f>IMAGE("https://mitra.stanford.edu/kundaje/oak/projects/neuro-variants/variant_position/credible/roussos_2024/variant_figures/roussos_2024.adolescence.Astrocyte/rs76032436_count_position.png",4,220,900)</f>
        <v/>
      </c>
      <c r="T389">
        <f>IMAGE("https://mitra.stanford.edu/kundaje/oak/projects/neuro-variants/variant_position/credible/roussos_2024/variant_figures/roussos_2024.adolescence.Astrocyte/rs76032436_profile_position.png",4,220,900)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-0.01746359804</v>
      </c>
      <c r="G390" t="n">
        <v>0.5961477912821819</v>
      </c>
      <c r="H390" t="n">
        <v>0.0287664409517411</v>
      </c>
      <c r="I390" t="n">
        <v>0.0377957495047313</v>
      </c>
      <c r="J390" t="n">
        <v>0.0458824140284247</v>
      </c>
      <c r="K390" t="n">
        <v>0.4482164517546793</v>
      </c>
      <c r="L390" t="b">
        <v>0</v>
      </c>
      <c r="M390" t="b">
        <v>0</v>
      </c>
      <c r="N390" t="inlineStr">
        <is>
          <t>ref</t>
        </is>
      </c>
      <c r="O390" t="n">
        <v>-65</v>
      </c>
      <c r="P390" t="n">
        <v>0.013306</v>
      </c>
      <c r="Q390" t="n">
        <v>-65</v>
      </c>
      <c r="R390" t="n">
        <v>0.172</v>
      </c>
      <c r="S390">
        <f>IMAGE("https://mitra.stanford.edu/kundaje/oak/projects/neuro-variants/variant_position/credible/roussos_2024/variant_figures/roussos_2024.adolescence.Astrocyte/rs76460998_count_position.png",4,220,900)</f>
        <v/>
      </c>
      <c r="T390">
        <f>IMAGE("https://mitra.stanford.edu/kundaje/oak/projects/neuro-variants/variant_position/credible/roussos_2024/variant_figures/roussos_2024.adolescence.Astrocyte/rs76460998_profile_position.png",4,220,900)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0.011857818274</v>
      </c>
      <c r="G391" t="n">
        <v>0.6988526794344607</v>
      </c>
      <c r="H391" t="n">
        <v>0.0124486265754047</v>
      </c>
      <c r="I391" t="n">
        <v>0.5114754484537356</v>
      </c>
      <c r="J391" t="n">
        <v>0.0002959677180072</v>
      </c>
      <c r="K391" t="n">
        <v>0.9441273125726944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0.007736</v>
      </c>
      <c r="Q391" t="n">
        <v>-80</v>
      </c>
      <c r="R391" t="n">
        <v>0.0492</v>
      </c>
      <c r="S391">
        <f>IMAGE("https://mitra.stanford.edu/kundaje/oak/projects/neuro-variants/variant_position/credible/roussos_2024/variant_figures/roussos_2024.adolescence.Astrocyte/rs58429288_count_position.png",4,220,900)</f>
        <v/>
      </c>
      <c r="T391">
        <f>IMAGE("https://mitra.stanford.edu/kundaje/oak/projects/neuro-variants/variant_position/credible/roussos_2024/variant_figures/roussos_2024.adolescence.Astrocyte/rs58429288_profile_position.png",4,220,900)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0.0045022226599999</v>
      </c>
      <c r="G392" t="n">
        <v>0.7449709501568752</v>
      </c>
      <c r="H392" t="n">
        <v>0.0112843304025488</v>
      </c>
      <c r="I392" t="n">
        <v>0.6266489503871793</v>
      </c>
      <c r="J392" t="n">
        <v>0.1681319170400261</v>
      </c>
      <c r="K392" t="n">
        <v>0.2333742811459792</v>
      </c>
      <c r="L392" t="b">
        <v>0</v>
      </c>
      <c r="M392" t="b">
        <v>0</v>
      </c>
      <c r="N392" t="inlineStr">
        <is>
          <t>alt</t>
        </is>
      </c>
      <c r="O392" t="n">
        <v>35</v>
      </c>
      <c r="P392" t="n">
        <v>0.004105</v>
      </c>
      <c r="Q392" t="n">
        <v>-90</v>
      </c>
      <c r="R392" t="n">
        <v>0.2094</v>
      </c>
      <c r="S392">
        <f>IMAGE("https://mitra.stanford.edu/kundaje/oak/projects/neuro-variants/variant_position/credible/roussos_2024/variant_figures/roussos_2024.adolescence.Astrocyte/rs112188494_count_position.png",4,220,900)</f>
        <v/>
      </c>
      <c r="T392">
        <f>IMAGE("https://mitra.stanford.edu/kundaje/oak/projects/neuro-variants/variant_position/credible/roussos_2024/variant_figures/roussos_2024.adolescence.Astrocyte/rs112188494_profile_position.png",4,220,900)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-0.474918576</v>
      </c>
      <c r="G393" t="n">
        <v>0.0018168044389353</v>
      </c>
      <c r="H393" t="n">
        <v>0.125758821601485</v>
      </c>
      <c r="I393" t="n">
        <v>0.0002389427889259</v>
      </c>
      <c r="J393" t="n">
        <v>0.056351808444352</v>
      </c>
      <c r="K393" t="n">
        <v>0.4201643319626105</v>
      </c>
      <c r="L393" t="b">
        <v>1</v>
      </c>
      <c r="M393" t="b">
        <v>1</v>
      </c>
      <c r="N393" t="inlineStr">
        <is>
          <t>ref</t>
        </is>
      </c>
      <c r="O393" t="n">
        <v>45</v>
      </c>
      <c r="P393" t="n">
        <v>0.003845</v>
      </c>
      <c r="Q393" t="n">
        <v>45</v>
      </c>
      <c r="R393" t="n">
        <v>0.0105</v>
      </c>
      <c r="S393">
        <f>IMAGE("https://mitra.stanford.edu/kundaje/oak/projects/neuro-variants/variant_position/credible/roussos_2024/variant_figures/roussos_2024.adolescence.Astrocyte/rs78005057_count_position.png",4,220,900)</f>
        <v/>
      </c>
      <c r="T393">
        <f>IMAGE("https://mitra.stanford.edu/kundaje/oak/projects/neuro-variants/variant_position/credible/roussos_2024/variant_figures/roussos_2024.adolescence.Astrocyte/rs78005057_profile_position.png",4,220,900)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-0.06592402106</v>
      </c>
      <c r="G394" t="n">
        <v>0.1687881922074829</v>
      </c>
      <c r="H394" t="n">
        <v>0.0135654762792315</v>
      </c>
      <c r="I394" t="n">
        <v>0.422607784995207</v>
      </c>
      <c r="J394" t="n">
        <v>0.0107230810313621</v>
      </c>
      <c r="K394" t="n">
        <v>0.6638197404352355</v>
      </c>
      <c r="L394" t="b">
        <v>0</v>
      </c>
      <c r="M394" t="b">
        <v>0</v>
      </c>
      <c r="N394" t="inlineStr">
        <is>
          <t>ref</t>
        </is>
      </c>
      <c r="O394" t="n">
        <v>0</v>
      </c>
      <c r="P394" t="n">
        <v>0</v>
      </c>
      <c r="Q394" t="n">
        <v>35</v>
      </c>
      <c r="R394" t="n">
        <v>0.0311</v>
      </c>
      <c r="S394">
        <f>IMAGE("https://mitra.stanford.edu/kundaje/oak/projects/neuro-variants/variant_position/credible/roussos_2024/variant_figures/roussos_2024.adolescence.Astrocyte/rs10822313_count_position.png",4,220,900)</f>
        <v/>
      </c>
      <c r="T394">
        <f>IMAGE("https://mitra.stanford.edu/kundaje/oak/projects/neuro-variants/variant_position/credible/roussos_2024/variant_figures/roussos_2024.adolescence.Astrocyte/rs10822313_profile_position.png",4,220,900)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-0.1167717401999999</v>
      </c>
      <c r="G395" t="n">
        <v>0.0620654021405076</v>
      </c>
      <c r="H395" t="n">
        <v>0.0197801276444776</v>
      </c>
      <c r="I395" t="n">
        <v>0.1461345820022623</v>
      </c>
      <c r="J395" t="n">
        <v>0.1085652612527074</v>
      </c>
      <c r="K395" t="n">
        <v>0.3221963803404026</v>
      </c>
      <c r="L395" t="b">
        <v>0</v>
      </c>
      <c r="M395" t="b">
        <v>0</v>
      </c>
      <c r="N395" t="inlineStr">
        <is>
          <t>ref</t>
        </is>
      </c>
      <c r="O395" t="n">
        <v>100</v>
      </c>
      <c r="P395" t="n">
        <v>0.009445</v>
      </c>
      <c r="Q395" t="n">
        <v>-30</v>
      </c>
      <c r="R395" t="n">
        <v>0.1672</v>
      </c>
      <c r="S395">
        <f>IMAGE("https://mitra.stanford.edu/kundaje/oak/projects/neuro-variants/variant_position/credible/roussos_2024/variant_figures/roussos_2024.adolescence.Astrocyte/rs3999058_count_position.png",4,220,900)</f>
        <v/>
      </c>
      <c r="T395">
        <f>IMAGE("https://mitra.stanford.edu/kundaje/oak/projects/neuro-variants/variant_position/credible/roussos_2024/variant_figures/roussos_2024.adolescence.Astrocyte/rs3999058_profile_position.png",4,220,900)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-0.03746199814</v>
      </c>
      <c r="G396" t="n">
        <v>0.3717440728927186</v>
      </c>
      <c r="H396" t="n">
        <v>0.0132635845699747</v>
      </c>
      <c r="I396" t="n">
        <v>0.4330113657131012</v>
      </c>
      <c r="J396" t="n">
        <v>0.0246239207192237</v>
      </c>
      <c r="K396" t="n">
        <v>0.5651675287229289</v>
      </c>
      <c r="L396" t="b">
        <v>0</v>
      </c>
      <c r="M396" t="b">
        <v>0</v>
      </c>
      <c r="N396" t="inlineStr">
        <is>
          <t>ref</t>
        </is>
      </c>
      <c r="O396" t="n">
        <v>-90</v>
      </c>
      <c r="P396" t="n">
        <v>0.006203</v>
      </c>
      <c r="Q396" t="n">
        <v>-100</v>
      </c>
      <c r="R396" t="n">
        <v>0.1637</v>
      </c>
      <c r="S396">
        <f>IMAGE("https://mitra.stanford.edu/kundaje/oak/projects/neuro-variants/variant_position/credible/roussos_2024/variant_figures/roussos_2024.adolescence.Astrocyte/rs2394090_count_position.png",4,220,900)</f>
        <v/>
      </c>
      <c r="T396">
        <f>IMAGE("https://mitra.stanford.edu/kundaje/oak/projects/neuro-variants/variant_position/credible/roussos_2024/variant_figures/roussos_2024.adolescence.Astrocyte/rs2394090_profile_position.png",4,220,900)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-0.07950468279999991</v>
      </c>
      <c r="G397" t="n">
        <v>0.1240268900018873</v>
      </c>
      <c r="H397" t="n">
        <v>0.0115844297446605</v>
      </c>
      <c r="I397" t="n">
        <v>0.5752181113374627</v>
      </c>
      <c r="J397" t="n">
        <v>0.0026822538052991</v>
      </c>
      <c r="K397" t="n">
        <v>0.8278912893334872</v>
      </c>
      <c r="L397" t="b">
        <v>0</v>
      </c>
      <c r="M397" t="b">
        <v>0</v>
      </c>
      <c r="N397" t="inlineStr">
        <is>
          <t>ref</t>
        </is>
      </c>
      <c r="O397" t="n">
        <v>55</v>
      </c>
      <c r="P397" t="n">
        <v>0.00504</v>
      </c>
      <c r="Q397" t="n">
        <v>-65</v>
      </c>
      <c r="R397" t="n">
        <v>0.07385</v>
      </c>
      <c r="S397">
        <f>IMAGE("https://mitra.stanford.edu/kundaje/oak/projects/neuro-variants/variant_position/credible/roussos_2024/variant_figures/roussos_2024.adolescence.Astrocyte/rs10822315_count_position.png",4,220,900)</f>
        <v/>
      </c>
      <c r="T397">
        <f>IMAGE("https://mitra.stanford.edu/kundaje/oak/projects/neuro-variants/variant_position/credible/roussos_2024/variant_figures/roussos_2024.adolescence.Astrocyte/rs10822315_profile_position.png",4,220,900)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-0.0491927988</v>
      </c>
      <c r="G398" t="n">
        <v>0.2409987452025151</v>
      </c>
      <c r="H398" t="n">
        <v>0.0147780206502502</v>
      </c>
      <c r="I398" t="n">
        <v>0.3373513197151178</v>
      </c>
      <c r="J398" t="n">
        <v>0.0451747618906328</v>
      </c>
      <c r="K398" t="n">
        <v>0.4823368374315603</v>
      </c>
      <c r="L398" t="b">
        <v>0</v>
      </c>
      <c r="M398" t="b">
        <v>0</v>
      </c>
      <c r="N398" t="inlineStr">
        <is>
          <t>ref</t>
        </is>
      </c>
      <c r="O398" t="n">
        <v>40</v>
      </c>
      <c r="P398" t="n">
        <v>0.00253</v>
      </c>
      <c r="Q398" t="n">
        <v>95</v>
      </c>
      <c r="R398" t="n">
        <v>0.0984</v>
      </c>
      <c r="S398">
        <f>IMAGE("https://mitra.stanford.edu/kundaje/oak/projects/neuro-variants/variant_position/credible/roussos_2024/variant_figures/roussos_2024.adolescence.Astrocyte/rs56023698_count_position.png",4,220,900)</f>
        <v/>
      </c>
      <c r="T398">
        <f>IMAGE("https://mitra.stanford.edu/kundaje/oak/projects/neuro-variants/variant_position/credible/roussos_2024/variant_figures/roussos_2024.adolescence.Astrocyte/rs56023698_profile_position.png",4,220,900)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0.0449573595999999</v>
      </c>
      <c r="G399" t="n">
        <v>0.2732504143173623</v>
      </c>
      <c r="H399" t="n">
        <v>0.0212589078270291</v>
      </c>
      <c r="I399" t="n">
        <v>0.1131152392283356</v>
      </c>
      <c r="J399" t="n">
        <v>0.0086483399103936</v>
      </c>
      <c r="K399" t="n">
        <v>0.6789381101218261</v>
      </c>
      <c r="L399" t="b">
        <v>0</v>
      </c>
      <c r="M399" t="b">
        <v>0</v>
      </c>
      <c r="N399" t="inlineStr">
        <is>
          <t>alt</t>
        </is>
      </c>
      <c r="O399" t="n">
        <v>-95</v>
      </c>
      <c r="P399" t="n">
        <v>0.001984</v>
      </c>
      <c r="Q399" t="n">
        <v>-20</v>
      </c>
      <c r="R399" t="n">
        <v>0.003418</v>
      </c>
      <c r="S399">
        <f>IMAGE("https://mitra.stanford.edu/kundaje/oak/projects/neuro-variants/variant_position/credible/roussos_2024/variant_figures/roussos_2024.adolescence.Astrocyte/rs76523509_count_position.png",4,220,900)</f>
        <v/>
      </c>
      <c r="T399">
        <f>IMAGE("https://mitra.stanford.edu/kundaje/oak/projects/neuro-variants/variant_position/credible/roussos_2024/variant_figures/roussos_2024.adolescence.Astrocyte/rs76523509_profile_position.png",4,220,900)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-0.0310211232</v>
      </c>
      <c r="G400" t="n">
        <v>0.4131056589884994</v>
      </c>
      <c r="H400" t="n">
        <v>0.0120098042046561</v>
      </c>
      <c r="I400" t="n">
        <v>0.5471688390489418</v>
      </c>
      <c r="J400" t="n">
        <v>3.931400765510489e-05</v>
      </c>
      <c r="K400" t="n">
        <v>0.996039226785603</v>
      </c>
      <c r="L400" t="b">
        <v>0</v>
      </c>
      <c r="M400" t="b">
        <v>0</v>
      </c>
      <c r="N400" t="inlineStr">
        <is>
          <t>ref</t>
        </is>
      </c>
      <c r="O400" t="n">
        <v>80</v>
      </c>
      <c r="P400" t="n">
        <v>0.00584</v>
      </c>
      <c r="Q400" t="n">
        <v>-100</v>
      </c>
      <c r="R400" t="n">
        <v>0.1637</v>
      </c>
      <c r="S400">
        <f>IMAGE("https://mitra.stanford.edu/kundaje/oak/projects/neuro-variants/variant_position/credible/roussos_2024/variant_figures/roussos_2024.adolescence.Astrocyte/rs60020658_count_position.png",4,220,900)</f>
        <v/>
      </c>
      <c r="T400">
        <f>IMAGE("https://mitra.stanford.edu/kundaje/oak/projects/neuro-variants/variant_position/credible/roussos_2024/variant_figures/roussos_2024.adolescence.Astrocyte/rs60020658_profile_position.png",4,220,900)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-0.0201919556</v>
      </c>
      <c r="G401" t="n">
        <v>0.55295118633</v>
      </c>
      <c r="H401" t="n">
        <v>0.0491674882607168</v>
      </c>
      <c r="I401" t="n">
        <v>0.0041917518184175</v>
      </c>
      <c r="J401" t="n">
        <v>0.0276918968637806</v>
      </c>
      <c r="K401" t="n">
        <v>0.5323204723426104</v>
      </c>
      <c r="L401" t="b">
        <v>1</v>
      </c>
      <c r="M401" t="b">
        <v>0</v>
      </c>
      <c r="N401" t="inlineStr">
        <is>
          <t>ref</t>
        </is>
      </c>
      <c r="O401" t="n">
        <v>60</v>
      </c>
      <c r="P401" t="n">
        <v>0.007706</v>
      </c>
      <c r="Q401" t="n">
        <v>75</v>
      </c>
      <c r="R401" t="n">
        <v>0.1974</v>
      </c>
      <c r="S401">
        <f>IMAGE("https://mitra.stanford.edu/kundaje/oak/projects/neuro-variants/variant_position/credible/roussos_2024/variant_figures/roussos_2024.adolescence.Astrocyte/rs4919647_count_position.png",4,220,900)</f>
        <v/>
      </c>
      <c r="T401">
        <f>IMAGE("https://mitra.stanford.edu/kundaje/oak/projects/neuro-variants/variant_position/credible/roussos_2024/variant_figures/roussos_2024.adolescence.Astrocyte/rs4919647_profile_position.png",4,220,900)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0.0528859846</v>
      </c>
      <c r="G402" t="n">
        <v>0.2131754228327874</v>
      </c>
      <c r="H402" t="n">
        <v>0.0205385432928103</v>
      </c>
      <c r="I402" t="n">
        <v>0.1279970087625048</v>
      </c>
      <c r="J402" t="n">
        <v>0.4527890692223244</v>
      </c>
      <c r="K402" t="n">
        <v>0.06921757300923589</v>
      </c>
      <c r="L402" t="b">
        <v>0</v>
      </c>
      <c r="M402" t="b">
        <v>0</v>
      </c>
      <c r="N402" t="inlineStr">
        <is>
          <t>alt</t>
        </is>
      </c>
      <c r="O402" t="n">
        <v>50</v>
      </c>
      <c r="P402" t="n">
        <v>0.006256</v>
      </c>
      <c r="Q402" t="n">
        <v>30</v>
      </c>
      <c r="R402" t="n">
        <v>0.157</v>
      </c>
      <c r="S402">
        <f>IMAGE("https://mitra.stanford.edu/kundaje/oak/projects/neuro-variants/variant_position/credible/roussos_2024/variant_figures/roussos_2024.adolescence.Astrocyte/rs4919652_count_position.png",4,220,900)</f>
        <v/>
      </c>
      <c r="T402">
        <f>IMAGE("https://mitra.stanford.edu/kundaje/oak/projects/neuro-variants/variant_position/credible/roussos_2024/variant_figures/roussos_2024.adolescence.Astrocyte/rs4919652_profile_position.png",4,220,900)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-0.0456435678</v>
      </c>
      <c r="G403" t="n">
        <v>0.2831655167079505</v>
      </c>
      <c r="H403" t="n">
        <v>0.0182053461284991</v>
      </c>
      <c r="I403" t="n">
        <v>0.1849928604221379</v>
      </c>
      <c r="J403" t="n">
        <v>0.0006757558674301</v>
      </c>
      <c r="K403" t="n">
        <v>0.9016077997159594</v>
      </c>
      <c r="L403" t="b">
        <v>0</v>
      </c>
      <c r="M403" t="b">
        <v>0</v>
      </c>
      <c r="N403" t="inlineStr">
        <is>
          <t>ref</t>
        </is>
      </c>
      <c r="O403" t="n">
        <v>-90</v>
      </c>
      <c r="P403" t="n">
        <v>0.0009003</v>
      </c>
      <c r="Q403" t="n">
        <v>-45</v>
      </c>
      <c r="R403" t="n">
        <v>0.0368</v>
      </c>
      <c r="S403">
        <f>IMAGE("https://mitra.stanford.edu/kundaje/oak/projects/neuro-variants/variant_position/credible/roussos_2024/variant_figures/roussos_2024.adolescence.Astrocyte/rs2145307_count_position.png",4,220,900)</f>
        <v/>
      </c>
      <c r="T403">
        <f>IMAGE("https://mitra.stanford.edu/kundaje/oak/projects/neuro-variants/variant_position/credible/roussos_2024/variant_figures/roussos_2024.adolescence.Astrocyte/rs2145307_profile_position.png",4,220,900)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-0.0418923648</v>
      </c>
      <c r="G404" t="n">
        <v>0.3062506309968964</v>
      </c>
      <c r="H404" t="n">
        <v>0.0615909558482969</v>
      </c>
      <c r="I404" t="n">
        <v>0.0017427486426646</v>
      </c>
      <c r="J404" t="n">
        <v>0.0124632822003975</v>
      </c>
      <c r="K404" t="n">
        <v>0.6368573756405408</v>
      </c>
      <c r="L404" t="b">
        <v>1</v>
      </c>
      <c r="M404" t="b">
        <v>0</v>
      </c>
      <c r="N404" t="inlineStr">
        <is>
          <t>ref</t>
        </is>
      </c>
      <c r="O404" t="n">
        <v>65</v>
      </c>
      <c r="P404" t="n">
        <v>0.02524</v>
      </c>
      <c r="Q404" t="n">
        <v>80</v>
      </c>
      <c r="R404" t="n">
        <v>0.2737</v>
      </c>
      <c r="S404">
        <f>IMAGE("https://mitra.stanford.edu/kundaje/oak/projects/neuro-variants/variant_position/credible/roussos_2024/variant_figures/roussos_2024.adolescence.Astrocyte/rs10883740_count_position.png",4,220,900)</f>
        <v/>
      </c>
      <c r="T404">
        <f>IMAGE("https://mitra.stanford.edu/kundaje/oak/projects/neuro-variants/variant_position/credible/roussos_2024/variant_figures/roussos_2024.adolescence.Astrocyte/rs10883740_profile_position.png",4,220,900)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-0.0125236201999999</v>
      </c>
      <c r="G405" t="n">
        <v>0.6146804291132432</v>
      </c>
      <c r="H405" t="n">
        <v>0.0263031149284359</v>
      </c>
      <c r="I405" t="n">
        <v>0.053005927076698</v>
      </c>
      <c r="J405" t="n">
        <v>0.3993880366732932</v>
      </c>
      <c r="K405" t="n">
        <v>0.087638833784819</v>
      </c>
      <c r="L405" t="b">
        <v>0</v>
      </c>
      <c r="M405" t="b">
        <v>0</v>
      </c>
      <c r="N405" t="inlineStr">
        <is>
          <t>ref</t>
        </is>
      </c>
      <c r="O405" t="n">
        <v>-50</v>
      </c>
      <c r="P405" t="n">
        <v>0.00074</v>
      </c>
      <c r="Q405" t="n">
        <v>65</v>
      </c>
      <c r="R405" t="n">
        <v>0.1251</v>
      </c>
      <c r="S405">
        <f>IMAGE("https://mitra.stanford.edu/kundaje/oak/projects/neuro-variants/variant_position/credible/roussos_2024/variant_figures/roussos_2024.adolescence.Astrocyte/rs74558061_count_position.png",4,220,900)</f>
        <v/>
      </c>
      <c r="T405">
        <f>IMAGE("https://mitra.stanford.edu/kundaje/oak/projects/neuro-variants/variant_position/credible/roussos_2024/variant_figures/roussos_2024.adolescence.Astrocyte/rs74558061_profile_position.png",4,220,900)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-0.0287585554999999</v>
      </c>
      <c r="G406" t="n">
        <v>0.441506510478024</v>
      </c>
      <c r="H406" t="n">
        <v>0.034661888846132</v>
      </c>
      <c r="I406" t="n">
        <v>0.0173646785194304</v>
      </c>
      <c r="J406" t="n">
        <v>0.2714209417559267</v>
      </c>
      <c r="K406" t="n">
        <v>0.152176855051698</v>
      </c>
      <c r="L406" t="b">
        <v>1</v>
      </c>
      <c r="M406" t="b">
        <v>0</v>
      </c>
      <c r="N406" t="inlineStr">
        <is>
          <t>ref</t>
        </is>
      </c>
      <c r="O406" t="n">
        <v>-100</v>
      </c>
      <c r="P406" t="n">
        <v>0.002075</v>
      </c>
      <c r="Q406" t="n">
        <v>60</v>
      </c>
      <c r="R406" t="n">
        <v>0.1655</v>
      </c>
      <c r="S406">
        <f>IMAGE("https://mitra.stanford.edu/kundaje/oak/projects/neuro-variants/variant_position/credible/roussos_2024/variant_figures/roussos_2024.adolescence.Astrocyte/rs10883761_count_position.png",4,220,900)</f>
        <v/>
      </c>
      <c r="T406">
        <f>IMAGE("https://mitra.stanford.edu/kundaje/oak/projects/neuro-variants/variant_position/credible/roussos_2024/variant_figures/roussos_2024.adolescence.Astrocyte/rs10883761_profile_position.png",4,220,900)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0.0435421528</v>
      </c>
      <c r="G407" t="n">
        <v>0.2895674338083362</v>
      </c>
      <c r="H407" t="n">
        <v>0.0111291032763135</v>
      </c>
      <c r="I407" t="n">
        <v>0.6442315222171935</v>
      </c>
      <c r="J407" t="n">
        <v>0.194056908880515</v>
      </c>
      <c r="K407" t="n">
        <v>0.2120036841662729</v>
      </c>
      <c r="L407" t="b">
        <v>0</v>
      </c>
      <c r="M407" t="b">
        <v>0</v>
      </c>
      <c r="N407" t="inlineStr">
        <is>
          <t>alt</t>
        </is>
      </c>
      <c r="O407" t="n">
        <v>100</v>
      </c>
      <c r="P407" t="n">
        <v>0.005245</v>
      </c>
      <c r="Q407" t="n">
        <v>5</v>
      </c>
      <c r="R407" t="n">
        <v>0.006744</v>
      </c>
      <c r="S407">
        <f>IMAGE("https://mitra.stanford.edu/kundaje/oak/projects/neuro-variants/variant_position/credible/roussos_2024/variant_figures/roussos_2024.adolescence.Astrocyte/rs884825_count_position.png",4,220,900)</f>
        <v/>
      </c>
      <c r="T407">
        <f>IMAGE("https://mitra.stanford.edu/kundaje/oak/projects/neuro-variants/variant_position/credible/roussos_2024/variant_figures/roussos_2024.adolescence.Astrocyte/rs884825_profile_position.png",4,220,900)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0.1302295726</v>
      </c>
      <c r="G408" t="n">
        <v>0.0512374118276271</v>
      </c>
      <c r="H408" t="n">
        <v>0.0490765190108362</v>
      </c>
      <c r="I408" t="n">
        <v>0.0041660148329239</v>
      </c>
      <c r="J408" t="n">
        <v>0.0550715069875084</v>
      </c>
      <c r="K408" t="n">
        <v>0.418853805852923</v>
      </c>
      <c r="L408" t="b">
        <v>1</v>
      </c>
      <c r="M408" t="b">
        <v>1</v>
      </c>
      <c r="N408" t="inlineStr">
        <is>
          <t>alt</t>
        </is>
      </c>
      <c r="O408" t="n">
        <v>95</v>
      </c>
      <c r="P408" t="n">
        <v>0.011566</v>
      </c>
      <c r="Q408" t="n">
        <v>40</v>
      </c>
      <c r="R408" t="n">
        <v>0.07635</v>
      </c>
      <c r="S408">
        <f>IMAGE("https://mitra.stanford.edu/kundaje/oak/projects/neuro-variants/variant_position/credible/roussos_2024/variant_figures/roussos_2024.adolescence.Astrocyte/rs4919669_count_position.png",4,220,900)</f>
        <v/>
      </c>
      <c r="T408">
        <f>IMAGE("https://mitra.stanford.edu/kundaje/oak/projects/neuro-variants/variant_position/credible/roussos_2024/variant_figures/roussos_2024.adolescence.Astrocyte/rs4919669_profile_position.png",4,220,900)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-0.1220061539999999</v>
      </c>
      <c r="G409" t="n">
        <v>0.0556680412520667</v>
      </c>
      <c r="H409" t="n">
        <v>0.0108779103759378</v>
      </c>
      <c r="I409" t="n">
        <v>0.6412912121186333</v>
      </c>
      <c r="J409" t="n">
        <v>0.6545248197489838</v>
      </c>
      <c r="K409" t="n">
        <v>0.0244474104148435</v>
      </c>
      <c r="L409" t="b">
        <v>0</v>
      </c>
      <c r="M409" t="b">
        <v>0</v>
      </c>
      <c r="N409" t="inlineStr">
        <is>
          <t>ref</t>
        </is>
      </c>
      <c r="O409" t="n">
        <v>65</v>
      </c>
      <c r="P409" t="n">
        <v>0.03748</v>
      </c>
      <c r="Q409" t="n">
        <v>65</v>
      </c>
      <c r="R409" t="n">
        <v>0.4954</v>
      </c>
      <c r="S409">
        <f>IMAGE("https://mitra.stanford.edu/kundaje/oak/projects/neuro-variants/variant_position/credible/roussos_2024/variant_figures/roussos_2024.adolescence.Astrocyte/rs999867_count_position.png",4,220,900)</f>
        <v/>
      </c>
      <c r="T409">
        <f>IMAGE("https://mitra.stanford.edu/kundaje/oak/projects/neuro-variants/variant_position/credible/roussos_2024/variant_figures/roussos_2024.adolescence.Astrocyte/rs999867_profile_position.png",4,220,900)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0.0474423206</v>
      </c>
      <c r="G410" t="n">
        <v>0.2552081138751504</v>
      </c>
      <c r="H410" t="n">
        <v>0.0471745846170926</v>
      </c>
      <c r="I410" t="n">
        <v>0.0048734025349626</v>
      </c>
      <c r="J410" t="n">
        <v>0.055181289499451</v>
      </c>
      <c r="K410" t="n">
        <v>0.4283281155178259</v>
      </c>
      <c r="L410" t="b">
        <v>1</v>
      </c>
      <c r="M410" t="b">
        <v>1</v>
      </c>
      <c r="N410" t="inlineStr">
        <is>
          <t>alt</t>
        </is>
      </c>
      <c r="O410" t="n">
        <v>-30</v>
      </c>
      <c r="P410" t="n">
        <v>0.00354</v>
      </c>
      <c r="Q410" t="n">
        <v>90</v>
      </c>
      <c r="R410" t="n">
        <v>0.1608</v>
      </c>
      <c r="S410">
        <f>IMAGE("https://mitra.stanford.edu/kundaje/oak/projects/neuro-variants/variant_position/credible/roussos_2024/variant_figures/roussos_2024.adolescence.Astrocyte/rs10786709_count_position.png",4,220,900)</f>
        <v/>
      </c>
      <c r="T410">
        <f>IMAGE("https://mitra.stanford.edu/kundaje/oak/projects/neuro-variants/variant_position/credible/roussos_2024/variant_figures/roussos_2024.adolescence.Astrocyte/rs10786709_profile_position.png",4,220,900)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-0.0106060198</v>
      </c>
      <c r="G411" t="n">
        <v>0.6281125885808085</v>
      </c>
      <c r="H411" t="n">
        <v>0.0262300106226793</v>
      </c>
      <c r="I411" t="n">
        <v>0.053647474488807</v>
      </c>
      <c r="J411" t="n">
        <v>0.0195969201554757</v>
      </c>
      <c r="K411" t="n">
        <v>0.58759144858808</v>
      </c>
      <c r="L411" t="b">
        <v>0</v>
      </c>
      <c r="M411" t="b">
        <v>0</v>
      </c>
      <c r="N411" t="inlineStr">
        <is>
          <t>ref</t>
        </is>
      </c>
      <c r="O411" t="n">
        <v>80</v>
      </c>
      <c r="P411" t="n">
        <v>0.00769</v>
      </c>
      <c r="Q411" t="n">
        <v>-10</v>
      </c>
      <c r="R411" t="n">
        <v>0.02545</v>
      </c>
      <c r="S411">
        <f>IMAGE("https://mitra.stanford.edu/kundaje/oak/projects/neuro-variants/variant_position/credible/roussos_2024/variant_figures/roussos_2024.adolescence.Astrocyte/rs4363528_count_position.png",4,220,900)</f>
        <v/>
      </c>
      <c r="T411">
        <f>IMAGE("https://mitra.stanford.edu/kundaje/oak/projects/neuro-variants/variant_position/credible/roussos_2024/variant_figures/roussos_2024.adolescence.Astrocyte/rs4363528_profile_position.png",4,220,900)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0.05158205754</v>
      </c>
      <c r="G412" t="n">
        <v>0.22080869120714</v>
      </c>
      <c r="H412" t="n">
        <v>0.0123010488359798</v>
      </c>
      <c r="I412" t="n">
        <v>0.5251289256767677</v>
      </c>
      <c r="J412" t="n">
        <v>0.0038275524434026</v>
      </c>
      <c r="K412" t="n">
        <v>0.781448283815546</v>
      </c>
      <c r="L412" t="b">
        <v>0</v>
      </c>
      <c r="M412" t="b">
        <v>0</v>
      </c>
      <c r="N412" t="inlineStr">
        <is>
          <t>alt</t>
        </is>
      </c>
      <c r="O412" t="n">
        <v>45</v>
      </c>
      <c r="P412" t="n">
        <v>0.001823</v>
      </c>
      <c r="Q412" t="n">
        <v>95</v>
      </c>
      <c r="R412" t="n">
        <v>0.152</v>
      </c>
      <c r="S412">
        <f>IMAGE("https://mitra.stanford.edu/kundaje/oak/projects/neuro-variants/variant_position/credible/roussos_2024/variant_figures/roussos_2024.adolescence.Astrocyte/rs11191453_count_position.png",4,220,900)</f>
        <v/>
      </c>
      <c r="T412">
        <f>IMAGE("https://mitra.stanford.edu/kundaje/oak/projects/neuro-variants/variant_position/credible/roussos_2024/variant_figures/roussos_2024.adolescence.Astrocyte/rs11191453_profile_position.png",4,220,900)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0.1154346281999999</v>
      </c>
      <c r="G413" t="n">
        <v>0.06572813802840451</v>
      </c>
      <c r="H413" t="n">
        <v>0.0416954782920937</v>
      </c>
      <c r="I413" t="n">
        <v>0.0090912443249272</v>
      </c>
      <c r="J413" t="n">
        <v>0.0308963593745363</v>
      </c>
      <c r="K413" t="n">
        <v>0.5289887864659618</v>
      </c>
      <c r="L413" t="b">
        <v>1</v>
      </c>
      <c r="M413" t="b">
        <v>0</v>
      </c>
      <c r="N413" t="inlineStr">
        <is>
          <t>alt</t>
        </is>
      </c>
      <c r="O413" t="n">
        <v>50</v>
      </c>
      <c r="P413" t="n">
        <v>0.012505</v>
      </c>
      <c r="Q413" t="n">
        <v>-80</v>
      </c>
      <c r="R413" t="n">
        <v>0.1007</v>
      </c>
      <c r="S413">
        <f>IMAGE("https://mitra.stanford.edu/kundaje/oak/projects/neuro-variants/variant_position/credible/roussos_2024/variant_figures/roussos_2024.adolescence.Astrocyte/rs10883799_count_position.png",4,220,900)</f>
        <v/>
      </c>
      <c r="T413">
        <f>IMAGE("https://mitra.stanford.edu/kundaje/oak/projects/neuro-variants/variant_position/credible/roussos_2024/variant_figures/roussos_2024.adolescence.Astrocyte/rs10883799_profile_position.png",4,220,900)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0.003440786008</v>
      </c>
      <c r="G414" t="n">
        <v>0.8395050779604722</v>
      </c>
      <c r="H414" t="n">
        <v>0.0088251381038481</v>
      </c>
      <c r="I414" t="n">
        <v>0.864566992913072</v>
      </c>
      <c r="J414" t="n">
        <v>0.0012981040263477</v>
      </c>
      <c r="K414" t="n">
        <v>0.8616094269841167</v>
      </c>
      <c r="L414" t="b">
        <v>0</v>
      </c>
      <c r="M414" t="b">
        <v>0</v>
      </c>
      <c r="N414" t="inlineStr">
        <is>
          <t>alt</t>
        </is>
      </c>
      <c r="O414" t="n">
        <v>-70</v>
      </c>
      <c r="P414" t="n">
        <v>0.0094</v>
      </c>
      <c r="Q414" t="n">
        <v>100</v>
      </c>
      <c r="R414" t="n">
        <v>0.0969</v>
      </c>
      <c r="S414">
        <f>IMAGE("https://mitra.stanford.edu/kundaje/oak/projects/neuro-variants/variant_position/credible/roussos_2024/variant_figures/roussos_2024.adolescence.Astrocyte/rs112699822_count_position.png",4,220,900)</f>
        <v/>
      </c>
      <c r="T414">
        <f>IMAGE("https://mitra.stanford.edu/kundaje/oak/projects/neuro-variants/variant_position/credible/roussos_2024/variant_figures/roussos_2024.adolescence.Astrocyte/rs112699822_profile_position.png",4,220,900)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0.1146938528</v>
      </c>
      <c r="G415" t="n">
        <v>0.07144917072542981</v>
      </c>
      <c r="H415" t="n">
        <v>0.0291065474978101</v>
      </c>
      <c r="I415" t="n">
        <v>0.0357815580901609</v>
      </c>
      <c r="J415" t="n">
        <v>0.0182120286027949</v>
      </c>
      <c r="K415" t="n">
        <v>0.5873087125220694</v>
      </c>
      <c r="L415" t="b">
        <v>0</v>
      </c>
      <c r="M415" t="b">
        <v>0</v>
      </c>
      <c r="N415" t="inlineStr">
        <is>
          <t>alt</t>
        </is>
      </c>
      <c r="O415" t="n">
        <v>70</v>
      </c>
      <c r="P415" t="n">
        <v>0.01351</v>
      </c>
      <c r="Q415" t="n">
        <v>-40</v>
      </c>
      <c r="R415" t="n">
        <v>0.07335999999999999</v>
      </c>
      <c r="S415">
        <f>IMAGE("https://mitra.stanford.edu/kundaje/oak/projects/neuro-variants/variant_position/credible/roussos_2024/variant_figures/roussos_2024.adolescence.Astrocyte/rs11191472_count_position.png",4,220,900)</f>
        <v/>
      </c>
      <c r="T415">
        <f>IMAGE("https://mitra.stanford.edu/kundaje/oak/projects/neuro-variants/variant_position/credible/roussos_2024/variant_figures/roussos_2024.adolescence.Astrocyte/rs11191472_profile_position.png",4,220,900)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0.0524347088</v>
      </c>
      <c r="G416" t="n">
        <v>0.2157899398987948</v>
      </c>
      <c r="H416" t="n">
        <v>0.0114447736025608</v>
      </c>
      <c r="I416" t="n">
        <v>0.6151720193789972</v>
      </c>
      <c r="J416" t="n">
        <v>0.0030805862979556</v>
      </c>
      <c r="K416" t="n">
        <v>0.7890164100499899</v>
      </c>
      <c r="L416" t="b">
        <v>0</v>
      </c>
      <c r="M416" t="b">
        <v>0</v>
      </c>
      <c r="N416" t="inlineStr">
        <is>
          <t>alt</t>
        </is>
      </c>
      <c r="O416" t="n">
        <v>-35</v>
      </c>
      <c r="P416" t="n">
        <v>0.003357</v>
      </c>
      <c r="Q416" t="n">
        <v>-30</v>
      </c>
      <c r="R416" t="n">
        <v>0.03302</v>
      </c>
      <c r="S416">
        <f>IMAGE("https://mitra.stanford.edu/kundaje/oak/projects/neuro-variants/variant_position/credible/roussos_2024/variant_figures/roussos_2024.adolescence.Astrocyte/rs3902934_count_position.png",4,220,900)</f>
        <v/>
      </c>
      <c r="T416">
        <f>IMAGE("https://mitra.stanford.edu/kundaje/oak/projects/neuro-variants/variant_position/credible/roussos_2024/variant_figures/roussos_2024.adolescence.Astrocyte/rs3902934_profile_position.png",4,220,900)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0.01467174766</v>
      </c>
      <c r="G417" t="n">
        <v>0.639447435887433</v>
      </c>
      <c r="H417" t="n">
        <v>0.0105887473315831</v>
      </c>
      <c r="I417" t="n">
        <v>0.7023487934711435</v>
      </c>
      <c r="J417" t="n">
        <v>0.0399363558140224</v>
      </c>
      <c r="K417" t="n">
        <v>0.48290949399319</v>
      </c>
      <c r="L417" t="b">
        <v>0</v>
      </c>
      <c r="M417" t="b">
        <v>0</v>
      </c>
      <c r="N417" t="inlineStr">
        <is>
          <t>alt</t>
        </is>
      </c>
      <c r="O417" t="n">
        <v>-45</v>
      </c>
      <c r="P417" t="n">
        <v>0.003944</v>
      </c>
      <c r="Q417" t="n">
        <v>100</v>
      </c>
      <c r="R417" t="n">
        <v>0.141</v>
      </c>
      <c r="S417">
        <f>IMAGE("https://mitra.stanford.edu/kundaje/oak/projects/neuro-variants/variant_position/credible/roussos_2024/variant_figures/roussos_2024.adolescence.Astrocyte/rs1890184_count_position.png",4,220,900)</f>
        <v/>
      </c>
      <c r="T417">
        <f>IMAGE("https://mitra.stanford.edu/kundaje/oak/projects/neuro-variants/variant_position/credible/roussos_2024/variant_figures/roussos_2024.adolescence.Astrocyte/rs1890184_profile_position.png",4,220,900)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-0.008377647899999899</v>
      </c>
      <c r="G418" t="n">
        <v>0.7855245838519969</v>
      </c>
      <c r="H418" t="n">
        <v>0.0308767209945624</v>
      </c>
      <c r="I418" t="n">
        <v>0.0281449586095991</v>
      </c>
      <c r="J418" t="n">
        <v>0.0014546182832388</v>
      </c>
      <c r="K418" t="n">
        <v>0.8418163014718562</v>
      </c>
      <c r="L418" t="b">
        <v>0</v>
      </c>
      <c r="M418" t="b">
        <v>0</v>
      </c>
      <c r="N418" t="inlineStr">
        <is>
          <t>ref</t>
        </is>
      </c>
      <c r="O418" t="n">
        <v>-50</v>
      </c>
      <c r="P418" t="n">
        <v>0.003143</v>
      </c>
      <c r="Q418" t="n">
        <v>75</v>
      </c>
      <c r="R418" t="n">
        <v>0.0896</v>
      </c>
      <c r="S418">
        <f>IMAGE("https://mitra.stanford.edu/kundaje/oak/projects/neuro-variants/variant_position/credible/roussos_2024/variant_figures/roussos_2024.adolescence.Astrocyte/rs11191511_count_position.png",4,220,900)</f>
        <v/>
      </c>
      <c r="T418">
        <f>IMAGE("https://mitra.stanford.edu/kundaje/oak/projects/neuro-variants/variant_position/credible/roussos_2024/variant_figures/roussos_2024.adolescence.Astrocyte/rs11191511_profile_position.png",4,220,900)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-0.0366455998</v>
      </c>
      <c r="G419" t="n">
        <v>0.253431655199281</v>
      </c>
      <c r="H419" t="n">
        <v>0.0117258284722629</v>
      </c>
      <c r="I419" t="n">
        <v>0.5831792683623355</v>
      </c>
      <c r="J419" t="n">
        <v>0.2720158442868587</v>
      </c>
      <c r="K419" t="n">
        <v>0.1522306644366959</v>
      </c>
      <c r="L419" t="b">
        <v>0</v>
      </c>
      <c r="M419" t="b">
        <v>0</v>
      </c>
      <c r="N419" t="inlineStr">
        <is>
          <t>ref</t>
        </is>
      </c>
      <c r="O419" t="n">
        <v>25</v>
      </c>
      <c r="P419" t="n">
        <v>0.005493</v>
      </c>
      <c r="Q419" t="n">
        <v>95</v>
      </c>
      <c r="R419" t="n">
        <v>0.2134</v>
      </c>
      <c r="S419">
        <f>IMAGE("https://mitra.stanford.edu/kundaje/oak/projects/neuro-variants/variant_position/credible/roussos_2024/variant_figures/roussos_2024.adolescence.Astrocyte/rs11191514_count_position.png",4,220,900)</f>
        <v/>
      </c>
      <c r="T419">
        <f>IMAGE("https://mitra.stanford.edu/kundaje/oak/projects/neuro-variants/variant_position/credible/roussos_2024/variant_figures/roussos_2024.adolescence.Astrocyte/rs11191514_profile_position.png",4,220,900)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-0.0403437108</v>
      </c>
      <c r="G420" t="n">
        <v>0.3112727158261629</v>
      </c>
      <c r="H420" t="n">
        <v>0.0120424581253813</v>
      </c>
      <c r="I420" t="n">
        <v>0.5557959948887192</v>
      </c>
      <c r="J420" t="n">
        <v>0.4109315194493071</v>
      </c>
      <c r="K420" t="n">
        <v>0.08429868827900899</v>
      </c>
      <c r="L420" t="b">
        <v>0</v>
      </c>
      <c r="M420" t="b">
        <v>0</v>
      </c>
      <c r="N420" t="inlineStr">
        <is>
          <t>ref</t>
        </is>
      </c>
      <c r="O420" t="n">
        <v>100</v>
      </c>
      <c r="P420" t="n">
        <v>0.094</v>
      </c>
      <c r="Q420" t="n">
        <v>100</v>
      </c>
      <c r="R420" t="n">
        <v>0.169</v>
      </c>
      <c r="S420">
        <f>IMAGE("https://mitra.stanford.edu/kundaje/oak/projects/neuro-variants/variant_position/credible/roussos_2024/variant_figures/roussos_2024.adolescence.Astrocyte/rs1926032_count_position.png",4,220,900)</f>
        <v/>
      </c>
      <c r="T420">
        <f>IMAGE("https://mitra.stanford.edu/kundaje/oak/projects/neuro-variants/variant_position/credible/roussos_2024/variant_figures/roussos_2024.adolescence.Astrocyte/rs1926032_profile_position.png",4,220,900)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0.0203361036</v>
      </c>
      <c r="G421" t="n">
        <v>0.5089687751635715</v>
      </c>
      <c r="H421" t="n">
        <v>0.008497991486334301</v>
      </c>
      <c r="I421" t="n">
        <v>0.8811938253439229</v>
      </c>
      <c r="J421" t="n">
        <v>0.0010614782066877</v>
      </c>
      <c r="K421" t="n">
        <v>0.8678943275519955</v>
      </c>
      <c r="L421" t="b">
        <v>0</v>
      </c>
      <c r="M421" t="b">
        <v>0</v>
      </c>
      <c r="N421" t="inlineStr">
        <is>
          <t>alt</t>
        </is>
      </c>
      <c r="O421" t="n">
        <v>-15</v>
      </c>
      <c r="P421" t="n">
        <v>0.001057</v>
      </c>
      <c r="Q421" t="n">
        <v>25</v>
      </c>
      <c r="R421" t="n">
        <v>0.01178</v>
      </c>
      <c r="S421">
        <f>IMAGE("https://mitra.stanford.edu/kundaje/oak/projects/neuro-variants/variant_position/credible/roussos_2024/variant_figures/roussos_2024.adolescence.Astrocyte/rs9633712_count_position.png",4,220,900)</f>
        <v/>
      </c>
      <c r="T421">
        <f>IMAGE("https://mitra.stanford.edu/kundaje/oak/projects/neuro-variants/variant_position/credible/roussos_2024/variant_figures/roussos_2024.adolescence.Astrocyte/rs9633712_profile_position.png",4,220,900)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-0.0505037684</v>
      </c>
      <c r="G422" t="n">
        <v>0.2524338268706272</v>
      </c>
      <c r="H422" t="n">
        <v>0.0135524350213793</v>
      </c>
      <c r="I422" t="n">
        <v>0.4202758103685892</v>
      </c>
      <c r="J422" t="n">
        <v>0.3285011720024923</v>
      </c>
      <c r="K422" t="n">
        <v>0.1180238161196261</v>
      </c>
      <c r="L422" t="b">
        <v>0</v>
      </c>
      <c r="M422" t="b">
        <v>0</v>
      </c>
      <c r="N422" t="inlineStr">
        <is>
          <t>ref</t>
        </is>
      </c>
      <c r="O422" t="n">
        <v>-100</v>
      </c>
      <c r="P422" t="n">
        <v>0.01172</v>
      </c>
      <c r="Q422" t="n">
        <v>-100</v>
      </c>
      <c r="R422" t="n">
        <v>0.2391</v>
      </c>
      <c r="S422">
        <f>IMAGE("https://mitra.stanford.edu/kundaje/oak/projects/neuro-variants/variant_position/credible/roussos_2024/variant_figures/roussos_2024.adolescence.Astrocyte/rs11191582_count_position.png",4,220,900)</f>
        <v/>
      </c>
      <c r="T422">
        <f>IMAGE("https://mitra.stanford.edu/kundaje/oak/projects/neuro-variants/variant_position/credible/roussos_2024/variant_figures/roussos_2024.adolescence.Astrocyte/rs11191582_profile_position.png",4,220,900)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-0.00084897602</v>
      </c>
      <c r="G423" t="n">
        <v>0.910152098520976</v>
      </c>
      <c r="H423" t="n">
        <v>0.0299929675376507</v>
      </c>
      <c r="I423" t="n">
        <v>0.0314877814800874</v>
      </c>
      <c r="J423" t="n">
        <v>0.1149741862742188</v>
      </c>
      <c r="K423" t="n">
        <v>0.3062313490073121</v>
      </c>
      <c r="L423" t="b">
        <v>0</v>
      </c>
      <c r="M423" t="b">
        <v>0</v>
      </c>
      <c r="N423" t="inlineStr">
        <is>
          <t>ref</t>
        </is>
      </c>
      <c r="O423" t="n">
        <v>100</v>
      </c>
      <c r="P423" t="n">
        <v>0.003784</v>
      </c>
      <c r="Q423" t="n">
        <v>65</v>
      </c>
      <c r="R423" t="n">
        <v>0.10266</v>
      </c>
      <c r="S423">
        <f>IMAGE("https://mitra.stanford.edu/kundaje/oak/projects/neuro-variants/variant_position/credible/roussos_2024/variant_figures/roussos_2024.adolescence.Astrocyte/rs12414028_count_position.png",4,220,900)</f>
        <v/>
      </c>
      <c r="T423">
        <f>IMAGE("https://mitra.stanford.edu/kundaje/oak/projects/neuro-variants/variant_position/credible/roussos_2024/variant_figures/roussos_2024.adolescence.Astrocyte/rs12414028_profile_position.png",4,220,900)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-0.01791210348</v>
      </c>
      <c r="G424" t="n">
        <v>0.5531396226589972</v>
      </c>
      <c r="H424" t="n">
        <v>0.0205253884355575</v>
      </c>
      <c r="I424" t="n">
        <v>0.1257114368972459</v>
      </c>
      <c r="J424" t="n">
        <v>0.1850658695071655</v>
      </c>
      <c r="K424" t="n">
        <v>0.2168922799377002</v>
      </c>
      <c r="L424" t="b">
        <v>0</v>
      </c>
      <c r="M424" t="b">
        <v>0</v>
      </c>
      <c r="N424" t="inlineStr">
        <is>
          <t>ref</t>
        </is>
      </c>
      <c r="O424" t="n">
        <v>-65</v>
      </c>
      <c r="P424" t="n">
        <v>0.0475</v>
      </c>
      <c r="Q424" t="n">
        <v>-65</v>
      </c>
      <c r="R424" t="n">
        <v>0.3691</v>
      </c>
      <c r="S424">
        <f>IMAGE("https://mitra.stanford.edu/kundaje/oak/projects/neuro-variants/variant_position/credible/roussos_2024/variant_figures/roussos_2024.adolescence.Astrocyte/rs1490183_count_position.png",4,220,900)</f>
        <v/>
      </c>
      <c r="T424">
        <f>IMAGE("https://mitra.stanford.edu/kundaje/oak/projects/neuro-variants/variant_position/credible/roussos_2024/variant_figures/roussos_2024.adolescence.Astrocyte/rs1490183_profile_position.png",4,220,900)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-0.00835145648</v>
      </c>
      <c r="G425" t="n">
        <v>0.6616275073805854</v>
      </c>
      <c r="H425" t="n">
        <v>0.0086865595012693</v>
      </c>
      <c r="I425" t="n">
        <v>0.8736302024526166</v>
      </c>
      <c r="J425" t="n">
        <v>0.0767691303444796</v>
      </c>
      <c r="K425" t="n">
        <v>0.3848632301082199</v>
      </c>
      <c r="L425" t="b">
        <v>0</v>
      </c>
      <c r="M425" t="b">
        <v>0</v>
      </c>
      <c r="N425" t="inlineStr">
        <is>
          <t>ref</t>
        </is>
      </c>
      <c r="O425" t="n">
        <v>45</v>
      </c>
      <c r="P425" t="n">
        <v>0.00149</v>
      </c>
      <c r="Q425" t="n">
        <v>-90</v>
      </c>
      <c r="R425" t="n">
        <v>0.3389</v>
      </c>
      <c r="S425">
        <f>IMAGE("https://mitra.stanford.edu/kundaje/oak/projects/neuro-variants/variant_position/credible/roussos_2024/variant_figures/roussos_2024.adolescence.Astrocyte/rs2491368_count_position.png",4,220,900)</f>
        <v/>
      </c>
      <c r="T425">
        <f>IMAGE("https://mitra.stanford.edu/kundaje/oak/projects/neuro-variants/variant_position/credible/roussos_2024/variant_figures/roussos_2024.adolescence.Astrocyte/rs2491368_profile_position.png",4,220,900)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0.121530061</v>
      </c>
      <c r="G426" t="n">
        <v>0.0730324228189413</v>
      </c>
      <c r="H426" t="n">
        <v>0.0188063527519689</v>
      </c>
      <c r="I426" t="n">
        <v>0.1665228368994928</v>
      </c>
      <c r="J426" t="n">
        <v>0.3305944574666943</v>
      </c>
      <c r="K426" t="n">
        <v>0.1162846738219556</v>
      </c>
      <c r="L426" t="b">
        <v>0</v>
      </c>
      <c r="M426" t="b">
        <v>0</v>
      </c>
      <c r="N426" t="inlineStr">
        <is>
          <t>alt</t>
        </is>
      </c>
      <c r="O426" t="n">
        <v>-75</v>
      </c>
      <c r="P426" t="n">
        <v>0.00293</v>
      </c>
      <c r="Q426" t="n">
        <v>45</v>
      </c>
      <c r="R426" t="n">
        <v>0.0786</v>
      </c>
      <c r="S426">
        <f>IMAGE("https://mitra.stanford.edu/kundaje/oak/projects/neuro-variants/variant_position/credible/roussos_2024/variant_figures/roussos_2024.adolescence.Astrocyte/rs12250380_count_position.png",4,220,900)</f>
        <v/>
      </c>
      <c r="T426">
        <f>IMAGE("https://mitra.stanford.edu/kundaje/oak/projects/neuro-variants/variant_position/credible/roussos_2024/variant_figures/roussos_2024.adolescence.Astrocyte/rs12250380_profile_position.png",4,220,900)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-0.0081547716399999</v>
      </c>
      <c r="G427" t="n">
        <v>0.7182235528834326</v>
      </c>
      <c r="H427" t="n">
        <v>0.0464386354730103</v>
      </c>
      <c r="I427" t="n">
        <v>0.0052473270504155</v>
      </c>
      <c r="J427" t="n">
        <v>0.0173144823902916</v>
      </c>
      <c r="K427" t="n">
        <v>0.6015707410395446</v>
      </c>
      <c r="L427" t="b">
        <v>1</v>
      </c>
      <c r="M427" t="b">
        <v>0</v>
      </c>
      <c r="N427" t="inlineStr">
        <is>
          <t>ref</t>
        </is>
      </c>
      <c r="O427" t="n">
        <v>75</v>
      </c>
      <c r="P427" t="n">
        <v>0.01683</v>
      </c>
      <c r="Q427" t="n">
        <v>100</v>
      </c>
      <c r="R427" t="n">
        <v>0.2974</v>
      </c>
      <c r="S427">
        <f>IMAGE("https://mitra.stanford.edu/kundaje/oak/projects/neuro-variants/variant_position/credible/roussos_2024/variant_figures/roussos_2024.adolescence.Astrocyte/rs1021363_count_position.png",4,220,900)</f>
        <v/>
      </c>
      <c r="T427">
        <f>IMAGE("https://mitra.stanford.edu/kundaje/oak/projects/neuro-variants/variant_position/credible/roussos_2024/variant_figures/roussos_2024.adolescence.Astrocyte/rs1021363_profile_position.png",4,220,900)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-0.16790135</v>
      </c>
      <c r="G428" t="n">
        <v>0.0291763987105324</v>
      </c>
      <c r="H428" t="n">
        <v>0.0309552731555802</v>
      </c>
      <c r="I428" t="n">
        <v>0.0344323096439683</v>
      </c>
      <c r="J428" t="n">
        <v>0.2140551286235646</v>
      </c>
      <c r="K428" t="n">
        <v>0.1934005458859276</v>
      </c>
      <c r="L428" t="b">
        <v>0</v>
      </c>
      <c r="M428" t="b">
        <v>0</v>
      </c>
      <c r="N428" t="inlineStr">
        <is>
          <t>ref</t>
        </is>
      </c>
      <c r="O428" t="n">
        <v>5</v>
      </c>
      <c r="P428" t="n">
        <v>0.003998</v>
      </c>
      <c r="Q428" t="n">
        <v>90</v>
      </c>
      <c r="R428" t="n">
        <v>0.1685</v>
      </c>
      <c r="S428">
        <f>IMAGE("https://mitra.stanford.edu/kundaje/oak/projects/neuro-variants/variant_position/credible/roussos_2024/variant_figures/roussos_2024.adolescence.Astrocyte/rs2451497_count_position.png",4,220,900)</f>
        <v/>
      </c>
      <c r="T428">
        <f>IMAGE("https://mitra.stanford.edu/kundaje/oak/projects/neuro-variants/variant_position/credible/roussos_2024/variant_figures/roussos_2024.adolescence.Astrocyte/rs2451497_profile_position.png",4,220,900)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-0.0213316762</v>
      </c>
      <c r="G429" t="n">
        <v>0.5436906783759333</v>
      </c>
      <c r="H429" t="n">
        <v>0.0302305726726459</v>
      </c>
      <c r="I429" t="n">
        <v>0.0302797988015436</v>
      </c>
      <c r="J429" t="n">
        <v>0.0028565706316944</v>
      </c>
      <c r="K429" t="n">
        <v>0.8055041378140083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0.0756</v>
      </c>
      <c r="Q429" t="n">
        <v>-100</v>
      </c>
      <c r="R429" t="n">
        <v>0.1909</v>
      </c>
      <c r="S429">
        <f>IMAGE("https://mitra.stanford.edu/kundaje/oak/projects/neuro-variants/variant_position/credible/roussos_2024/variant_figures/roussos_2024.adolescence.Astrocyte/rs2932558_count_position.png",4,220,900)</f>
        <v/>
      </c>
      <c r="T429">
        <f>IMAGE("https://mitra.stanford.edu/kundaje/oak/projects/neuro-variants/variant_position/credible/roussos_2024/variant_figures/roussos_2024.adolescence.Astrocyte/rs2932558_profile_position.png",4,220,900)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0.135479234</v>
      </c>
      <c r="G430" t="n">
        <v>0.0465532866199792</v>
      </c>
      <c r="H430" t="n">
        <v>0.0294938443548214</v>
      </c>
      <c r="I430" t="n">
        <v>0.033596849770273</v>
      </c>
      <c r="J430" t="n">
        <v>0.0658828590926623</v>
      </c>
      <c r="K430" t="n">
        <v>0.4053452897800764</v>
      </c>
      <c r="L430" t="b">
        <v>0</v>
      </c>
      <c r="M430" t="b">
        <v>0</v>
      </c>
      <c r="N430" t="inlineStr">
        <is>
          <t>alt</t>
        </is>
      </c>
      <c r="O430" t="n">
        <v>-45</v>
      </c>
      <c r="P430" t="n">
        <v>0.00821</v>
      </c>
      <c r="Q430" t="n">
        <v>-60</v>
      </c>
      <c r="R430" t="n">
        <v>0.08685</v>
      </c>
      <c r="S430">
        <f>IMAGE("https://mitra.stanford.edu/kundaje/oak/projects/neuro-variants/variant_position/credible/roussos_2024/variant_figures/roussos_2024.adolescence.Astrocyte/rs2932559_count_position.png",4,220,900)</f>
        <v/>
      </c>
      <c r="T430">
        <f>IMAGE("https://mitra.stanford.edu/kundaje/oak/projects/neuro-variants/variant_position/credible/roussos_2024/variant_figures/roussos_2024.adolescence.Astrocyte/rs2932559_profile_position.png",4,220,900)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0.0311876164999999</v>
      </c>
      <c r="G431" t="n">
        <v>0.4222747673745919</v>
      </c>
      <c r="H431" t="n">
        <v>0.028164292834055</v>
      </c>
      <c r="I431" t="n">
        <v>0.0402220490950408</v>
      </c>
      <c r="J431" t="n">
        <v>0.0139312524107645</v>
      </c>
      <c r="K431" t="n">
        <v>0.637458115503784</v>
      </c>
      <c r="L431" t="b">
        <v>0</v>
      </c>
      <c r="M431" t="b">
        <v>0</v>
      </c>
      <c r="N431" t="inlineStr">
        <is>
          <t>alt</t>
        </is>
      </c>
      <c r="O431" t="n">
        <v>-60</v>
      </c>
      <c r="P431" t="n">
        <v>0.01355</v>
      </c>
      <c r="Q431" t="n">
        <v>10</v>
      </c>
      <c r="R431" t="n">
        <v>0.003227</v>
      </c>
      <c r="S431">
        <f>IMAGE("https://mitra.stanford.edu/kundaje/oak/projects/neuro-variants/variant_position/credible/roussos_2024/variant_figures/roussos_2024.adolescence.Astrocyte/rs7073961_count_position.png",4,220,900)</f>
        <v/>
      </c>
      <c r="T431">
        <f>IMAGE("https://mitra.stanford.edu/kundaje/oak/projects/neuro-variants/variant_position/credible/roussos_2024/variant_figures/roussos_2024.adolescence.Astrocyte/rs7073961_profile_position.png",4,220,900)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-0.02298985616</v>
      </c>
      <c r="G432" t="n">
        <v>0.449211546715425</v>
      </c>
      <c r="H432" t="n">
        <v>0.0244323149011725</v>
      </c>
      <c r="I432" t="n">
        <v>0.06834776378622009</v>
      </c>
      <c r="J432" t="n">
        <v>0.0272030679761445</v>
      </c>
      <c r="K432" t="n">
        <v>0.5314704898801799</v>
      </c>
      <c r="L432" t="b">
        <v>0</v>
      </c>
      <c r="M432" t="b">
        <v>0</v>
      </c>
      <c r="N432" t="inlineStr">
        <is>
          <t>ref</t>
        </is>
      </c>
      <c r="O432" t="n">
        <v>-50</v>
      </c>
      <c r="P432" t="n">
        <v>0.008670000000000001</v>
      </c>
      <c r="Q432" t="n">
        <v>-45</v>
      </c>
      <c r="R432" t="n">
        <v>0.02994</v>
      </c>
      <c r="S432">
        <f>IMAGE("https://mitra.stanford.edu/kundaje/oak/projects/neuro-variants/variant_position/credible/roussos_2024/variant_figures/roussos_2024.adolescence.Astrocyte/rs6585767_count_position.png",4,220,900)</f>
        <v/>
      </c>
      <c r="T432">
        <f>IMAGE("https://mitra.stanford.edu/kundaje/oak/projects/neuro-variants/variant_position/credible/roussos_2024/variant_figures/roussos_2024.adolescence.Astrocyte/rs6585767_profile_position.png",4,220,900)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0.06260405199999999</v>
      </c>
      <c r="G433" t="n">
        <v>0.1855708393546863</v>
      </c>
      <c r="H433" t="n">
        <v>0.0159206904444689</v>
      </c>
      <c r="I433" t="n">
        <v>0.2759721339652946</v>
      </c>
      <c r="J433" t="n">
        <v>0.0004509984274396</v>
      </c>
      <c r="K433" t="n">
        <v>0.9196257515039796</v>
      </c>
      <c r="L433" t="b">
        <v>0</v>
      </c>
      <c r="M433" t="b">
        <v>0</v>
      </c>
      <c r="N433" t="inlineStr">
        <is>
          <t>alt</t>
        </is>
      </c>
      <c r="O433" t="n">
        <v>-30</v>
      </c>
      <c r="P433" t="n">
        <v>0.01254</v>
      </c>
      <c r="Q433" t="n">
        <v>-100</v>
      </c>
      <c r="R433" t="n">
        <v>0.2151</v>
      </c>
      <c r="S433">
        <f>IMAGE("https://mitra.stanford.edu/kundaje/oak/projects/neuro-variants/variant_position/credible/roussos_2024/variant_figures/roussos_2024.adolescence.Astrocyte/rs12415401_count_position.png",4,220,900)</f>
        <v/>
      </c>
      <c r="T433">
        <f>IMAGE("https://mitra.stanford.edu/kundaje/oak/projects/neuro-variants/variant_position/credible/roussos_2024/variant_figures/roussos_2024.adolescence.Astrocyte/rs12415401_profile_position.png",4,220,900)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0.0797325196</v>
      </c>
      <c r="G434" t="n">
        <v>0.1182910095427555</v>
      </c>
      <c r="H434" t="n">
        <v>0.0161140465997046</v>
      </c>
      <c r="I434" t="n">
        <v>0.2686489043072121</v>
      </c>
      <c r="J434" t="n">
        <v>0.0340043913004776</v>
      </c>
      <c r="K434" t="n">
        <v>0.5005144297159145</v>
      </c>
      <c r="L434" t="b">
        <v>0</v>
      </c>
      <c r="M434" t="b">
        <v>0</v>
      </c>
      <c r="N434" t="inlineStr">
        <is>
          <t>alt</t>
        </is>
      </c>
      <c r="O434" t="n">
        <v>-45</v>
      </c>
      <c r="P434" t="n">
        <v>0.006035</v>
      </c>
      <c r="Q434" t="n">
        <v>40</v>
      </c>
      <c r="R434" t="n">
        <v>0.03937</v>
      </c>
      <c r="S434">
        <f>IMAGE("https://mitra.stanford.edu/kundaje/oak/projects/neuro-variants/variant_position/credible/roussos_2024/variant_figures/roussos_2024.adolescence.Astrocyte/rs7095093_count_position.png",4,220,900)</f>
        <v/>
      </c>
      <c r="T434">
        <f>IMAGE("https://mitra.stanford.edu/kundaje/oak/projects/neuro-variants/variant_position/credible/roussos_2024/variant_figures/roussos_2024.adolescence.Astrocyte/rs7095093_profile_position.png",4,220,900)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3.808466000000011e-05</v>
      </c>
      <c r="G435" t="n">
        <v>0.931241490951665</v>
      </c>
      <c r="H435" t="n">
        <v>0.0218621711597965</v>
      </c>
      <c r="I435" t="n">
        <v>0.1017195120221453</v>
      </c>
      <c r="J435" t="n">
        <v>0.007948105509895199</v>
      </c>
      <c r="K435" t="n">
        <v>0.6956682892095641</v>
      </c>
      <c r="L435" t="b">
        <v>0</v>
      </c>
      <c r="M435" t="b">
        <v>0</v>
      </c>
      <c r="N435" t="inlineStr">
        <is>
          <t>alt</t>
        </is>
      </c>
      <c r="O435" t="n">
        <v>30</v>
      </c>
      <c r="P435" t="n">
        <v>0.00177</v>
      </c>
      <c r="Q435" t="n">
        <v>-75</v>
      </c>
      <c r="R435" t="n">
        <v>0.09710000000000001</v>
      </c>
      <c r="S435">
        <f>IMAGE("https://mitra.stanford.edu/kundaje/oak/projects/neuro-variants/variant_position/credible/roussos_2024/variant_figures/roussos_2024.adolescence.Astrocyte/rs7923863_count_position.png",4,220,900)</f>
        <v/>
      </c>
      <c r="T435">
        <f>IMAGE("https://mitra.stanford.edu/kundaje/oak/projects/neuro-variants/variant_position/credible/roussos_2024/variant_figures/roussos_2024.adolescence.Astrocyte/rs7923863_profile_position.png",4,220,900)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-0.002746534366</v>
      </c>
      <c r="G436" t="n">
        <v>0.8577639857021755</v>
      </c>
      <c r="H436" t="n">
        <v>0.0075701818251654</v>
      </c>
      <c r="I436" t="n">
        <v>0.9569700448965652</v>
      </c>
      <c r="J436" t="n">
        <v>0.038163516600896</v>
      </c>
      <c r="K436" t="n">
        <v>0.4788117203532801</v>
      </c>
      <c r="L436" t="b">
        <v>0</v>
      </c>
      <c r="M436" t="b">
        <v>0</v>
      </c>
      <c r="N436" t="inlineStr">
        <is>
          <t>ref</t>
        </is>
      </c>
      <c r="O436" t="n">
        <v>40</v>
      </c>
      <c r="P436" t="n">
        <v>0.00817</v>
      </c>
      <c r="Q436" t="n">
        <v>5</v>
      </c>
      <c r="R436" t="n">
        <v>0.00232</v>
      </c>
      <c r="S436">
        <f>IMAGE("https://mitra.stanford.edu/kundaje/oak/projects/neuro-variants/variant_position/credible/roussos_2024/variant_figures/roussos_2024.adolescence.Astrocyte/rs72839625_count_position.png",4,220,900)</f>
        <v/>
      </c>
      <c r="T436">
        <f>IMAGE("https://mitra.stanford.edu/kundaje/oak/projects/neuro-variants/variant_position/credible/roussos_2024/variant_figures/roussos_2024.adolescence.Astrocyte/rs72839625_profile_position.png",4,220,900)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-0.0226912312</v>
      </c>
      <c r="G437" t="n">
        <v>0.5004680178635252</v>
      </c>
      <c r="H437" t="n">
        <v>0.0142205716495528</v>
      </c>
      <c r="I437" t="n">
        <v>0.3722026999089294</v>
      </c>
      <c r="J437" t="n">
        <v>0.1580556627006497</v>
      </c>
      <c r="K437" t="n">
        <v>0.2439204803664839</v>
      </c>
      <c r="L437" t="b">
        <v>0</v>
      </c>
      <c r="M437" t="b">
        <v>0</v>
      </c>
      <c r="N437" t="inlineStr">
        <is>
          <t>ref</t>
        </is>
      </c>
      <c r="O437" t="n">
        <v>20</v>
      </c>
      <c r="P437" t="n">
        <v>0.00338</v>
      </c>
      <c r="Q437" t="n">
        <v>100</v>
      </c>
      <c r="R437" t="n">
        <v>0.02597</v>
      </c>
      <c r="S437">
        <f>IMAGE("https://mitra.stanford.edu/kundaje/oak/projects/neuro-variants/variant_position/credible/roussos_2024/variant_figures/roussos_2024.adolescence.Astrocyte/rs7902292_count_position.png",4,220,900)</f>
        <v/>
      </c>
      <c r="T437">
        <f>IMAGE("https://mitra.stanford.edu/kundaje/oak/projects/neuro-variants/variant_position/credible/roussos_2024/variant_figures/roussos_2024.adolescence.Astrocyte/rs7902292_profile_position.png",4,220,900)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-0.1791173119999999</v>
      </c>
      <c r="G438" t="n">
        <v>0.0245621658107779</v>
      </c>
      <c r="H438" t="n">
        <v>0.0234783465788535</v>
      </c>
      <c r="I438" t="n">
        <v>0.0797223664568306</v>
      </c>
      <c r="J438" t="n">
        <v>0.4276377473815387</v>
      </c>
      <c r="K438" t="n">
        <v>0.0767524113324195</v>
      </c>
      <c r="L438" t="b">
        <v>0</v>
      </c>
      <c r="M438" t="b">
        <v>0</v>
      </c>
      <c r="N438" t="inlineStr">
        <is>
          <t>ref</t>
        </is>
      </c>
      <c r="O438" t="n">
        <v>-35</v>
      </c>
      <c r="P438" t="n">
        <v>0.005264</v>
      </c>
      <c r="Q438" t="n">
        <v>-40</v>
      </c>
      <c r="R438" t="n">
        <v>0.09470000000000001</v>
      </c>
      <c r="S438">
        <f>IMAGE("https://mitra.stanford.edu/kundaje/oak/projects/neuro-variants/variant_position/credible/roussos_2024/variant_figures/roussos_2024.adolescence.Astrocyte/rs4752661_count_position.png",4,220,900)</f>
        <v/>
      </c>
      <c r="T438">
        <f>IMAGE("https://mitra.stanford.edu/kundaje/oak/projects/neuro-variants/variant_position/credible/roussos_2024/variant_figures/roussos_2024.adolescence.Astrocyte/rs4752661_profile_position.png",4,220,900)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-0.01399823694</v>
      </c>
      <c r="G439" t="n">
        <v>0.6332693728466748</v>
      </c>
      <c r="H439" t="n">
        <v>0.0105372957890982</v>
      </c>
      <c r="I439" t="n">
        <v>0.6774539220685456</v>
      </c>
      <c r="J439" t="n">
        <v>0.001950123134439</v>
      </c>
      <c r="K439" t="n">
        <v>0.8467648340953032</v>
      </c>
      <c r="L439" t="b">
        <v>0</v>
      </c>
      <c r="M439" t="b">
        <v>0</v>
      </c>
      <c r="N439" t="inlineStr">
        <is>
          <t>ref</t>
        </is>
      </c>
      <c r="O439" t="n">
        <v>-75</v>
      </c>
      <c r="P439" t="n">
        <v>0.003235</v>
      </c>
      <c r="Q439" t="n">
        <v>-65</v>
      </c>
      <c r="R439" t="n">
        <v>0.01923</v>
      </c>
      <c r="S439">
        <f>IMAGE("https://mitra.stanford.edu/kundaje/oak/projects/neuro-variants/variant_position/credible/roussos_2024/variant_figures/roussos_2024.adolescence.Astrocyte/rs10832723_count_position.png",4,220,900)</f>
        <v/>
      </c>
      <c r="T439">
        <f>IMAGE("https://mitra.stanford.edu/kundaje/oak/projects/neuro-variants/variant_position/credible/roussos_2024/variant_figures/roussos_2024.adolescence.Astrocyte/rs10832723_profile_position.png",4,220,900)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-0.0447406728</v>
      </c>
      <c r="G440" t="n">
        <v>0.2634977563022135</v>
      </c>
      <c r="H440" t="n">
        <v>0.0154843473341497</v>
      </c>
      <c r="I440" t="n">
        <v>0.2988910317165759</v>
      </c>
      <c r="J440" t="n">
        <v>0.1479245171053021</v>
      </c>
      <c r="K440" t="n">
        <v>0.2552053991445922</v>
      </c>
      <c r="L440" t="b">
        <v>0</v>
      </c>
      <c r="M440" t="b">
        <v>0</v>
      </c>
      <c r="N440" t="inlineStr">
        <is>
          <t>ref</t>
        </is>
      </c>
      <c r="O440" t="n">
        <v>100</v>
      </c>
      <c r="P440" t="n">
        <v>0.02307</v>
      </c>
      <c r="Q440" t="n">
        <v>100</v>
      </c>
      <c r="R440" t="n">
        <v>0.1974</v>
      </c>
      <c r="S440">
        <f>IMAGE("https://mitra.stanford.edu/kundaje/oak/projects/neuro-variants/variant_position/credible/roussos_2024/variant_figures/roussos_2024.adolescence.Astrocyte/rs4456241_count_position.png",4,220,900)</f>
        <v/>
      </c>
      <c r="T440">
        <f>IMAGE("https://mitra.stanford.edu/kundaje/oak/projects/neuro-variants/variant_position/credible/roussos_2024/variant_figures/roussos_2024.adolescence.Astrocyte/rs4456241_profile_position.png",4,220,900)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0.039886822</v>
      </c>
      <c r="G441" t="n">
        <v>0.3115898902314329</v>
      </c>
      <c r="H441" t="n">
        <v>0.0302764171064825</v>
      </c>
      <c r="I441" t="n">
        <v>0.0305178539850068</v>
      </c>
      <c r="J441" t="n">
        <v>0.0299565320594605</v>
      </c>
      <c r="K441" t="n">
        <v>0.5255358689378532</v>
      </c>
      <c r="L441" t="b">
        <v>0</v>
      </c>
      <c r="M441" t="b">
        <v>0</v>
      </c>
      <c r="N441" t="inlineStr">
        <is>
          <t>alt</t>
        </is>
      </c>
      <c r="O441" t="n">
        <v>100</v>
      </c>
      <c r="P441" t="n">
        <v>0.006523</v>
      </c>
      <c r="Q441" t="n">
        <v>-100</v>
      </c>
      <c r="R441" t="n">
        <v>0.10815</v>
      </c>
      <c r="S441">
        <f>IMAGE("https://mitra.stanford.edu/kundaje/oak/projects/neuro-variants/variant_position/credible/roussos_2024/variant_figures/roussos_2024.adolescence.Astrocyte/rs77545208_count_position.png",4,220,900)</f>
        <v/>
      </c>
      <c r="T441">
        <f>IMAGE("https://mitra.stanford.edu/kundaje/oak/projects/neuro-variants/variant_position/credible/roussos_2024/variant_figures/roussos_2024.adolescence.Astrocyte/rs77545208_profile_position.png",4,220,900)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-0.0178199533</v>
      </c>
      <c r="G442" t="n">
        <v>0.5956848318112297</v>
      </c>
      <c r="H442" t="n">
        <v>0.0499959092974922</v>
      </c>
      <c r="I442" t="n">
        <v>0.003979059801479</v>
      </c>
      <c r="J442" t="n">
        <v>0.0324889475714327</v>
      </c>
      <c r="K442" t="n">
        <v>0.5160102611409667</v>
      </c>
      <c r="L442" t="b">
        <v>1</v>
      </c>
      <c r="M442" t="b">
        <v>0</v>
      </c>
      <c r="N442" t="inlineStr">
        <is>
          <t>ref</t>
        </is>
      </c>
      <c r="O442" t="n">
        <v>5</v>
      </c>
      <c r="P442" t="n">
        <v>0.000977</v>
      </c>
      <c r="Q442" t="n">
        <v>-45</v>
      </c>
      <c r="R442" t="n">
        <v>0.03174</v>
      </c>
      <c r="S442">
        <f>IMAGE("https://mitra.stanford.edu/kundaje/oak/projects/neuro-variants/variant_position/credible/roussos_2024/variant_figures/roussos_2024.adolescence.Astrocyte/rs34902253_count_position.png",4,220,900)</f>
        <v/>
      </c>
      <c r="T442">
        <f>IMAGE("https://mitra.stanford.edu/kundaje/oak/projects/neuro-variants/variant_position/credible/roussos_2024/variant_figures/roussos_2024.adolescence.Astrocyte/rs34902253_profile_position.png",4,220,900)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0.101602822</v>
      </c>
      <c r="G443" t="n">
        <v>0.0919601242364169</v>
      </c>
      <c r="H443" t="n">
        <v>0.0151172349290746</v>
      </c>
      <c r="I443" t="n">
        <v>0.3219386954784767</v>
      </c>
      <c r="J443" t="n">
        <v>0.0781258344954454</v>
      </c>
      <c r="K443" t="n">
        <v>0.3758671624388391</v>
      </c>
      <c r="L443" t="b">
        <v>0</v>
      </c>
      <c r="M443" t="b">
        <v>0</v>
      </c>
      <c r="N443" t="inlineStr">
        <is>
          <t>alt</t>
        </is>
      </c>
      <c r="O443" t="n">
        <v>65</v>
      </c>
      <c r="P443" t="n">
        <v>0.002724</v>
      </c>
      <c r="Q443" t="n">
        <v>80</v>
      </c>
      <c r="R443" t="n">
        <v>0.0415</v>
      </c>
      <c r="S443">
        <f>IMAGE("https://mitra.stanford.edu/kundaje/oak/projects/neuro-variants/variant_position/credible/roussos_2024/variant_figures/roussos_2024.adolescence.Astrocyte/rs7950225_count_position.png",4,220,900)</f>
        <v/>
      </c>
      <c r="T443">
        <f>IMAGE("https://mitra.stanford.edu/kundaje/oak/projects/neuro-variants/variant_position/credible/roussos_2024/variant_figures/roussos_2024.adolescence.Astrocyte/rs7950225_profile_position.png",4,220,900)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0.00748946556</v>
      </c>
      <c r="G444" t="n">
        <v>0.7162676896299969</v>
      </c>
      <c r="H444" t="n">
        <v>0.0124618648681155</v>
      </c>
      <c r="I444" t="n">
        <v>0.5154014248166989</v>
      </c>
      <c r="J444" t="n">
        <v>0.032248612883126</v>
      </c>
      <c r="K444" t="n">
        <v>0.5249624006329527</v>
      </c>
      <c r="L444" t="b">
        <v>0</v>
      </c>
      <c r="M444" t="b">
        <v>0</v>
      </c>
      <c r="N444" t="inlineStr">
        <is>
          <t>alt</t>
        </is>
      </c>
      <c r="O444" t="n">
        <v>-70</v>
      </c>
      <c r="P444" t="n">
        <v>0.00856</v>
      </c>
      <c r="Q444" t="n">
        <v>100</v>
      </c>
      <c r="R444" t="n">
        <v>0.1947</v>
      </c>
      <c r="S444">
        <f>IMAGE("https://mitra.stanford.edu/kundaje/oak/projects/neuro-variants/variant_position/credible/roussos_2024/variant_figures/roussos_2024.adolescence.Astrocyte/rs12577418_count_position.png",4,220,900)</f>
        <v/>
      </c>
      <c r="T444">
        <f>IMAGE("https://mitra.stanford.edu/kundaje/oak/projects/neuro-variants/variant_position/credible/roussos_2024/variant_figures/roussos_2024.adolescence.Astrocyte/rs12577418_profile_position.png",4,220,900)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-0.0041440297</v>
      </c>
      <c r="G445" t="n">
        <v>0.7505249252480515</v>
      </c>
      <c r="H445" t="n">
        <v>0.0364777413078917</v>
      </c>
      <c r="I445" t="n">
        <v>0.0140828771652786</v>
      </c>
      <c r="J445" t="n">
        <v>0.009546627896626299</v>
      </c>
      <c r="K445" t="n">
        <v>0.6777025458333672</v>
      </c>
      <c r="L445" t="b">
        <v>0</v>
      </c>
      <c r="M445" t="b">
        <v>0</v>
      </c>
      <c r="N445" t="inlineStr">
        <is>
          <t>ref</t>
        </is>
      </c>
      <c r="O445" t="n">
        <v>-70</v>
      </c>
      <c r="P445" t="n">
        <v>0.008699999999999999</v>
      </c>
      <c r="Q445" t="n">
        <v>-85</v>
      </c>
      <c r="R445" t="n">
        <v>0.06116</v>
      </c>
      <c r="S445">
        <f>IMAGE("https://mitra.stanford.edu/kundaje/oak/projects/neuro-variants/variant_position/credible/roussos_2024/variant_figures/roussos_2024.adolescence.Astrocyte/rs11024151_count_position.png",4,220,900)</f>
        <v/>
      </c>
      <c r="T445">
        <f>IMAGE("https://mitra.stanford.edu/kundaje/oak/projects/neuro-variants/variant_position/credible/roussos_2024/variant_figures/roussos_2024.adolescence.Astrocyte/rs11024151_profile_position.png",4,220,900)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0.23685239</v>
      </c>
      <c r="G446" t="n">
        <v>0.0116872525842622</v>
      </c>
      <c r="H446" t="n">
        <v>0.03203833910262</v>
      </c>
      <c r="I446" t="n">
        <v>0.0248468849850783</v>
      </c>
      <c r="J446" t="n">
        <v>0.3602861763047799</v>
      </c>
      <c r="K446" t="n">
        <v>0.1044545292062908</v>
      </c>
      <c r="L446" t="b">
        <v>1</v>
      </c>
      <c r="M446" t="b">
        <v>0</v>
      </c>
      <c r="N446" t="inlineStr">
        <is>
          <t>alt</t>
        </is>
      </c>
      <c r="O446" t="n">
        <v>20</v>
      </c>
      <c r="P446" t="n">
        <v>0.0006713999999999999</v>
      </c>
      <c r="Q446" t="n">
        <v>-5</v>
      </c>
      <c r="R446" t="n">
        <v>0.007812</v>
      </c>
      <c r="S446">
        <f>IMAGE("https://mitra.stanford.edu/kundaje/oak/projects/neuro-variants/variant_position/credible/roussos_2024/variant_figures/roussos_2024.adolescence.Astrocyte/rs1987694_count_position.png",4,220,900)</f>
        <v/>
      </c>
      <c r="T446">
        <f>IMAGE("https://mitra.stanford.edu/kundaje/oak/projects/neuro-variants/variant_position/credible/roussos_2024/variant_figures/roussos_2024.adolescence.Astrocyte/rs1987694_profile_position.png",4,220,900)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-0.041403042</v>
      </c>
      <c r="G447" t="n">
        <v>0.3085113688436924</v>
      </c>
      <c r="H447" t="n">
        <v>0.0311385516240261</v>
      </c>
      <c r="I447" t="n">
        <v>0.0269291957041768</v>
      </c>
      <c r="J447" t="n">
        <v>0.0101370797851822</v>
      </c>
      <c r="K447" t="n">
        <v>0.661080675979926</v>
      </c>
      <c r="L447" t="b">
        <v>0</v>
      </c>
      <c r="M447" t="b">
        <v>0</v>
      </c>
      <c r="N447" t="inlineStr">
        <is>
          <t>ref</t>
        </is>
      </c>
      <c r="O447" t="n">
        <v>70</v>
      </c>
      <c r="P447" t="n">
        <v>0.02977</v>
      </c>
      <c r="Q447" t="n">
        <v>90</v>
      </c>
      <c r="R447" t="n">
        <v>0.1824</v>
      </c>
      <c r="S447">
        <f>IMAGE("https://mitra.stanford.edu/kundaje/oak/projects/neuro-variants/variant_position/credible/roussos_2024/variant_figures/roussos_2024.adolescence.Astrocyte/rs214934_count_position.png",4,220,900)</f>
        <v/>
      </c>
      <c r="T447">
        <f>IMAGE("https://mitra.stanford.edu/kundaje/oak/projects/neuro-variants/variant_position/credible/roussos_2024/variant_figures/roussos_2024.adolescence.Astrocyte/rs214934_profile_position.png",4,220,900)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-0.0254904678</v>
      </c>
      <c r="G448" t="n">
        <v>0.4716138958254454</v>
      </c>
      <c r="H448" t="n">
        <v>0.0395547057245525</v>
      </c>
      <c r="I448" t="n">
        <v>0.010353102430866</v>
      </c>
      <c r="J448" t="n">
        <v>0.0040626947156038</v>
      </c>
      <c r="K448" t="n">
        <v>0.7656326093151092</v>
      </c>
      <c r="L448" t="b">
        <v>0</v>
      </c>
      <c r="M448" t="b">
        <v>0</v>
      </c>
      <c r="N448" t="inlineStr">
        <is>
          <t>ref</t>
        </is>
      </c>
      <c r="O448" t="n">
        <v>100</v>
      </c>
      <c r="P448" t="n">
        <v>0.008545000000000001</v>
      </c>
      <c r="Q448" t="n">
        <v>30</v>
      </c>
      <c r="R448" t="n">
        <v>0.06042</v>
      </c>
      <c r="S448">
        <f>IMAGE("https://mitra.stanford.edu/kundaje/oak/projects/neuro-variants/variant_position/credible/roussos_2024/variant_figures/roussos_2024.adolescence.Astrocyte/rs664382_count_position.png",4,220,900)</f>
        <v/>
      </c>
      <c r="T448">
        <f>IMAGE("https://mitra.stanford.edu/kundaje/oak/projects/neuro-variants/variant_position/credible/roussos_2024/variant_figures/roussos_2024.adolescence.Astrocyte/rs664382_profile_position.png",4,220,900)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-0.0049449032</v>
      </c>
      <c r="G449" t="n">
        <v>0.7525630983497473</v>
      </c>
      <c r="H449" t="n">
        <v>0.0126852156992418</v>
      </c>
      <c r="I449" t="n">
        <v>0.4944322450842369</v>
      </c>
      <c r="J449" t="n">
        <v>0.0023536480432008</v>
      </c>
      <c r="K449" t="n">
        <v>0.8083602413643125</v>
      </c>
      <c r="L449" t="b">
        <v>0</v>
      </c>
      <c r="M449" t="b">
        <v>0</v>
      </c>
      <c r="N449" t="inlineStr">
        <is>
          <t>ref</t>
        </is>
      </c>
      <c r="O449" t="n">
        <v>-100</v>
      </c>
      <c r="P449" t="n">
        <v>0.103</v>
      </c>
      <c r="Q449" t="n">
        <v>-95</v>
      </c>
      <c r="R449" t="n">
        <v>0.0667</v>
      </c>
      <c r="S449">
        <f>IMAGE("https://mitra.stanford.edu/kundaje/oak/projects/neuro-variants/variant_position/credible/roussos_2024/variant_figures/roussos_2024.adolescence.Astrocyte/rs665311_count_position.png",4,220,900)</f>
        <v/>
      </c>
      <c r="T449">
        <f>IMAGE("https://mitra.stanford.edu/kundaje/oak/projects/neuro-variants/variant_position/credible/roussos_2024/variant_figures/roussos_2024.adolescence.Astrocyte/rs665311_profile_position.png",4,220,900)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-0.0848343778</v>
      </c>
      <c r="G450" t="n">
        <v>0.1063275107146717</v>
      </c>
      <c r="H450" t="n">
        <v>0.0160739052121257</v>
      </c>
      <c r="I450" t="n">
        <v>0.2740770722149704</v>
      </c>
      <c r="J450" t="n">
        <v>0.3235171943150461</v>
      </c>
      <c r="K450" t="n">
        <v>0.1216428679144861</v>
      </c>
      <c r="L450" t="b">
        <v>0</v>
      </c>
      <c r="M450" t="b">
        <v>0</v>
      </c>
      <c r="N450" t="inlineStr">
        <is>
          <t>ref</t>
        </is>
      </c>
      <c r="O450" t="n">
        <v>65</v>
      </c>
      <c r="P450" t="n">
        <v>0.02916</v>
      </c>
      <c r="Q450" t="n">
        <v>50</v>
      </c>
      <c r="R450" t="n">
        <v>0.3477</v>
      </c>
      <c r="S450">
        <f>IMAGE("https://mitra.stanford.edu/kundaje/oak/projects/neuro-variants/variant_position/credible/roussos_2024/variant_figures/roussos_2024.adolescence.Astrocyte/rs615358_count_position.png",4,220,900)</f>
        <v/>
      </c>
      <c r="T450">
        <f>IMAGE("https://mitra.stanford.edu/kundaje/oak/projects/neuro-variants/variant_position/credible/roussos_2024/variant_figures/roussos_2024.adolescence.Astrocyte/rs615358_profile_position.png",4,220,900)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-0.162988314</v>
      </c>
      <c r="G451" t="n">
        <v>0.0327243098661665</v>
      </c>
      <c r="H451" t="n">
        <v>0.035031508476627</v>
      </c>
      <c r="I451" t="n">
        <v>0.0192666062808779</v>
      </c>
      <c r="J451" t="n">
        <v>0.3381627748271666</v>
      </c>
      <c r="K451" t="n">
        <v>0.1142817753293165</v>
      </c>
      <c r="L451" t="b">
        <v>1</v>
      </c>
      <c r="M451" t="b">
        <v>0</v>
      </c>
      <c r="N451" t="inlineStr">
        <is>
          <t>ref</t>
        </is>
      </c>
      <c r="O451" t="n">
        <v>15</v>
      </c>
      <c r="P451" t="n">
        <v>0.000977</v>
      </c>
      <c r="Q451" t="n">
        <v>0</v>
      </c>
      <c r="R451" t="n">
        <v>0</v>
      </c>
      <c r="S451">
        <f>IMAGE("https://mitra.stanford.edu/kundaje/oak/projects/neuro-variants/variant_position/credible/roussos_2024/variant_figures/roussos_2024.adolescence.Astrocyte/rs615424_count_position.png",4,220,900)</f>
        <v/>
      </c>
      <c r="T451">
        <f>IMAGE("https://mitra.stanford.edu/kundaje/oak/projects/neuro-variants/variant_position/credible/roussos_2024/variant_figures/roussos_2024.adolescence.Astrocyte/rs615424_profile_position.png",4,220,900)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-0.1276005875999999</v>
      </c>
      <c r="G452" t="n">
        <v>0.0708358141370086</v>
      </c>
      <c r="H452" t="n">
        <v>0.025597125193284</v>
      </c>
      <c r="I452" t="n">
        <v>0.06842130943060371</v>
      </c>
      <c r="J452" t="n">
        <v>0.0226975343441236</v>
      </c>
      <c r="K452" t="n">
        <v>0.5786273168134811</v>
      </c>
      <c r="L452" t="b">
        <v>0</v>
      </c>
      <c r="M452" t="b">
        <v>0</v>
      </c>
      <c r="N452" t="inlineStr">
        <is>
          <t>ref</t>
        </is>
      </c>
      <c r="O452" t="n">
        <v>-50</v>
      </c>
      <c r="P452" t="n">
        <v>0.002205</v>
      </c>
      <c r="Q452" t="n">
        <v>-45</v>
      </c>
      <c r="R452" t="n">
        <v>0.03564</v>
      </c>
      <c r="S452">
        <f>IMAGE("https://mitra.stanford.edu/kundaje/oak/projects/neuro-variants/variant_position/credible/roussos_2024/variant_figures/roussos_2024.adolescence.Astrocyte/rs2553965_count_position.png",4,220,900)</f>
        <v/>
      </c>
      <c r="T452">
        <f>IMAGE("https://mitra.stanford.edu/kundaje/oak/projects/neuro-variants/variant_position/credible/roussos_2024/variant_figures/roussos_2024.adolescence.Astrocyte/rs2553965_profile_position.png",4,220,900)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-0.017699246</v>
      </c>
      <c r="G453" t="n">
        <v>0.3399122637071022</v>
      </c>
      <c r="H453" t="n">
        <v>0.0150949540421138</v>
      </c>
      <c r="I453" t="n">
        <v>0.324720609146857</v>
      </c>
      <c r="J453" t="n">
        <v>0.0155052962644274</v>
      </c>
      <c r="K453" t="n">
        <v>0.6162609063140335</v>
      </c>
      <c r="L453" t="b">
        <v>0</v>
      </c>
      <c r="M453" t="b">
        <v>0</v>
      </c>
      <c r="N453" t="inlineStr">
        <is>
          <t>ref</t>
        </is>
      </c>
      <c r="O453" t="n">
        <v>100</v>
      </c>
      <c r="P453" t="n">
        <v>0.04678</v>
      </c>
      <c r="Q453" t="n">
        <v>-90</v>
      </c>
      <c r="R453" t="n">
        <v>0.1814</v>
      </c>
      <c r="S453">
        <f>IMAGE("https://mitra.stanford.edu/kundaje/oak/projects/neuro-variants/variant_position/credible/roussos_2024/variant_figures/roussos_2024.adolescence.Astrocyte/rs712017_count_position.png",4,220,900)</f>
        <v/>
      </c>
      <c r="T453">
        <f>IMAGE("https://mitra.stanford.edu/kundaje/oak/projects/neuro-variants/variant_position/credible/roussos_2024/variant_figures/roussos_2024.adolescence.Astrocyte/rs712017_profile_position.png",4,220,900)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-0.00253158236</v>
      </c>
      <c r="G454" t="n">
        <v>0.9007019985717437</v>
      </c>
      <c r="H454" t="n">
        <v>0.0128459018927822</v>
      </c>
      <c r="I454" t="n">
        <v>0.4813372417115233</v>
      </c>
      <c r="J454" t="n">
        <v>0.002310625166899</v>
      </c>
      <c r="K454" t="n">
        <v>0.8231149684144349</v>
      </c>
      <c r="L454" t="b">
        <v>0</v>
      </c>
      <c r="M454" t="b">
        <v>0</v>
      </c>
      <c r="N454" t="inlineStr">
        <is>
          <t>ref</t>
        </is>
      </c>
      <c r="O454" t="n">
        <v>40</v>
      </c>
      <c r="P454" t="n">
        <v>0.03635</v>
      </c>
      <c r="Q454" t="n">
        <v>50</v>
      </c>
      <c r="R454" t="n">
        <v>0.0856</v>
      </c>
      <c r="S454">
        <f>IMAGE("https://mitra.stanford.edu/kundaje/oak/projects/neuro-variants/variant_position/credible/roussos_2024/variant_figures/roussos_2024.adolescence.Astrocyte/rs813212_count_position.png",4,220,900)</f>
        <v/>
      </c>
      <c r="T454">
        <f>IMAGE("https://mitra.stanford.edu/kundaje/oak/projects/neuro-variants/variant_position/credible/roussos_2024/variant_figures/roussos_2024.adolescence.Astrocyte/rs813212_profile_position.png",4,220,900)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0.056890352</v>
      </c>
      <c r="G455" t="n">
        <v>0.1931800822504138</v>
      </c>
      <c r="H455" t="n">
        <v>0.0105459441936384</v>
      </c>
      <c r="I455" t="n">
        <v>0.6923051518442335</v>
      </c>
      <c r="J455" t="n">
        <v>0.0016519300952436</v>
      </c>
      <c r="K455" t="n">
        <v>0.838905134251323</v>
      </c>
      <c r="L455" t="b">
        <v>0</v>
      </c>
      <c r="M455" t="b">
        <v>0</v>
      </c>
      <c r="N455" t="inlineStr">
        <is>
          <t>alt</t>
        </is>
      </c>
      <c r="O455" t="n">
        <v>85</v>
      </c>
      <c r="P455" t="n">
        <v>0.01429</v>
      </c>
      <c r="Q455" t="n">
        <v>75</v>
      </c>
      <c r="R455" t="n">
        <v>0.3337</v>
      </c>
      <c r="S455">
        <f>IMAGE("https://mitra.stanford.edu/kundaje/oak/projects/neuro-variants/variant_position/credible/roussos_2024/variant_figures/roussos_2024.adolescence.Astrocyte/rs1087110_count_position.png",4,220,900)</f>
        <v/>
      </c>
      <c r="T455">
        <f>IMAGE("https://mitra.stanford.edu/kundaje/oak/projects/neuro-variants/variant_position/credible/roussos_2024/variant_figures/roussos_2024.adolescence.Astrocyte/rs1087110_profile_position.png",4,220,900)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-0.019944353246</v>
      </c>
      <c r="G456" t="n">
        <v>0.5590212426336565</v>
      </c>
      <c r="H456" t="n">
        <v>0.0118955894993501</v>
      </c>
      <c r="I456" t="n">
        <v>0.5597114676530043</v>
      </c>
      <c r="J456" t="n">
        <v>0.1554401685309912</v>
      </c>
      <c r="K456" t="n">
        <v>0.2504576021417098</v>
      </c>
      <c r="L456" t="b">
        <v>0</v>
      </c>
      <c r="M456" t="b">
        <v>0</v>
      </c>
      <c r="N456" t="inlineStr">
        <is>
          <t>ref</t>
        </is>
      </c>
      <c r="O456" t="n">
        <v>50</v>
      </c>
      <c r="P456" t="n">
        <v>0.008059999999999999</v>
      </c>
      <c r="Q456" t="n">
        <v>95</v>
      </c>
      <c r="R456" t="n">
        <v>0.05957</v>
      </c>
      <c r="S456">
        <f>IMAGE("https://mitra.stanford.edu/kundaje/oak/projects/neuro-variants/variant_position/credible/roussos_2024/variant_figures/roussos_2024.adolescence.Astrocyte/rs1698887_count_position.png",4,220,900)</f>
        <v/>
      </c>
      <c r="T456">
        <f>IMAGE("https://mitra.stanford.edu/kundaje/oak/projects/neuro-variants/variant_position/credible/roussos_2024/variant_figures/roussos_2024.adolescence.Astrocyte/rs1698887_profile_position.png",4,220,900)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0.32563687</v>
      </c>
      <c r="G457" t="n">
        <v>0.0047727207484448</v>
      </c>
      <c r="H457" t="n">
        <v>0.0271928127144791</v>
      </c>
      <c r="I457" t="n">
        <v>0.047075617919413</v>
      </c>
      <c r="J457" t="n">
        <v>0.6666320505592973</v>
      </c>
      <c r="K457" t="n">
        <v>0.0227020130065941</v>
      </c>
      <c r="L457" t="b">
        <v>1</v>
      </c>
      <c r="M457" t="b">
        <v>1</v>
      </c>
      <c r="N457" t="inlineStr">
        <is>
          <t>alt</t>
        </is>
      </c>
      <c r="O457" t="n">
        <v>-90</v>
      </c>
      <c r="P457" t="n">
        <v>0.2607</v>
      </c>
      <c r="Q457" t="n">
        <v>-90</v>
      </c>
      <c r="R457" t="n">
        <v>0.721</v>
      </c>
      <c r="S457">
        <f>IMAGE("https://mitra.stanford.edu/kundaje/oak/projects/neuro-variants/variant_position/credible/roussos_2024/variant_figures/roussos_2024.adolescence.Astrocyte/rs11025099_count_position.png",4,220,900)</f>
        <v/>
      </c>
      <c r="T457">
        <f>IMAGE("https://mitra.stanford.edu/kundaje/oak/projects/neuro-variants/variant_position/credible/roussos_2024/variant_figures/roussos_2024.adolescence.Astrocyte/rs11025099_profile_position.png",4,220,900)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0.0457529843999999</v>
      </c>
      <c r="G458" t="n">
        <v>0.2642138374693518</v>
      </c>
      <c r="H458" t="n">
        <v>0.0158560906907566</v>
      </c>
      <c r="I458" t="n">
        <v>0.2751852694591964</v>
      </c>
      <c r="J458" t="n">
        <v>0.0516534136427023</v>
      </c>
      <c r="K458" t="n">
        <v>0.4563901246791409</v>
      </c>
      <c r="L458" t="b">
        <v>0</v>
      </c>
      <c r="M458" t="b">
        <v>0</v>
      </c>
      <c r="N458" t="inlineStr">
        <is>
          <t>alt</t>
        </is>
      </c>
      <c r="O458" t="n">
        <v>-95</v>
      </c>
      <c r="P458" t="n">
        <v>0.0217</v>
      </c>
      <c r="Q458" t="n">
        <v>45</v>
      </c>
      <c r="R458" t="n">
        <v>0.1658</v>
      </c>
      <c r="S458">
        <f>IMAGE("https://mitra.stanford.edu/kundaje/oak/projects/neuro-variants/variant_position/credible/roussos_2024/variant_figures/roussos_2024.adolescence.Astrocyte/rs10833094_count_position.png",4,220,900)</f>
        <v/>
      </c>
      <c r="T458">
        <f>IMAGE("https://mitra.stanford.edu/kundaje/oak/projects/neuro-variants/variant_position/credible/roussos_2024/variant_figures/roussos_2024.adolescence.Astrocyte/rs10833094_profile_position.png",4,220,900)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-0.15808475</v>
      </c>
      <c r="G459" t="n">
        <v>0.0357261780386974</v>
      </c>
      <c r="H459" t="n">
        <v>0.0122932124699813</v>
      </c>
      <c r="I459" t="n">
        <v>0.5301531363204161</v>
      </c>
      <c r="J459" t="n">
        <v>0.4620990712992909</v>
      </c>
      <c r="K459" t="n">
        <v>0.0674782184980626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0.0935</v>
      </c>
      <c r="Q459" t="n">
        <v>95</v>
      </c>
      <c r="R459" t="n">
        <v>0.413</v>
      </c>
      <c r="S459">
        <f>IMAGE("https://mitra.stanford.edu/kundaje/oak/projects/neuro-variants/variant_position/credible/roussos_2024/variant_figures/roussos_2024.adolescence.Astrocyte/rs57208920_count_position.png",4,220,900)</f>
        <v/>
      </c>
      <c r="T459">
        <f>IMAGE("https://mitra.stanford.edu/kundaje/oak/projects/neuro-variants/variant_position/credible/roussos_2024/variant_figures/roussos_2024.adolescence.Astrocyte/rs57208920_profile_position.png",4,220,900)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0.0213237078</v>
      </c>
      <c r="G460" t="n">
        <v>0.5074972771041406</v>
      </c>
      <c r="H460" t="n">
        <v>0.0342024159437673</v>
      </c>
      <c r="I460" t="n">
        <v>0.0189075425392554</v>
      </c>
      <c r="J460" t="n">
        <v>0.0426653413642701</v>
      </c>
      <c r="K460" t="n">
        <v>0.4589229555461623</v>
      </c>
      <c r="L460" t="b">
        <v>1</v>
      </c>
      <c r="M460" t="b">
        <v>0</v>
      </c>
      <c r="N460" t="inlineStr">
        <is>
          <t>alt</t>
        </is>
      </c>
      <c r="O460" t="n">
        <v>-10</v>
      </c>
      <c r="P460" t="n">
        <v>0.005096</v>
      </c>
      <c r="Q460" t="n">
        <v>-90</v>
      </c>
      <c r="R460" t="n">
        <v>0.073</v>
      </c>
      <c r="S460">
        <f>IMAGE("https://mitra.stanford.edu/kundaje/oak/projects/neuro-variants/variant_position/credible/roussos_2024/variant_figures/roussos_2024.adolescence.Astrocyte/rs10766541_count_position.png",4,220,900)</f>
        <v/>
      </c>
      <c r="T460">
        <f>IMAGE("https://mitra.stanford.edu/kundaje/oak/projects/neuro-variants/variant_position/credible/roussos_2024/variant_figures/roussos_2024.adolescence.Astrocyte/rs10766541_profile_position.png",4,220,900)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0.091226082</v>
      </c>
      <c r="G461" t="n">
        <v>0.0979446277853388</v>
      </c>
      <c r="H461" t="n">
        <v>0.0260933917861755</v>
      </c>
      <c r="I461" t="n">
        <v>0.0541483422895747</v>
      </c>
      <c r="J461" t="n">
        <v>0.0193981247960121</v>
      </c>
      <c r="K461" t="n">
        <v>0.5767922618776624</v>
      </c>
      <c r="L461" t="b">
        <v>0</v>
      </c>
      <c r="M461" t="b">
        <v>0</v>
      </c>
      <c r="N461" t="inlineStr">
        <is>
          <t>alt</t>
        </is>
      </c>
      <c r="O461" t="n">
        <v>0</v>
      </c>
      <c r="P461" t="n">
        <v>0</v>
      </c>
      <c r="Q461" t="n">
        <v>40</v>
      </c>
      <c r="R461" t="n">
        <v>0.03076</v>
      </c>
      <c r="S461">
        <f>IMAGE("https://mitra.stanford.edu/kundaje/oak/projects/neuro-variants/variant_position/credible/roussos_2024/variant_figures/roussos_2024.adolescence.Astrocyte/rs7940014_count_position.png",4,220,900)</f>
        <v/>
      </c>
      <c r="T461">
        <f>IMAGE("https://mitra.stanford.edu/kundaje/oak/projects/neuro-variants/variant_position/credible/roussos_2024/variant_figures/roussos_2024.adolescence.Astrocyte/rs7940014_profile_position.png",4,220,900)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-0.0340008863599999</v>
      </c>
      <c r="G462" t="n">
        <v>0.3763586055314022</v>
      </c>
      <c r="H462" t="n">
        <v>0.0102465360402107</v>
      </c>
      <c r="I462" t="n">
        <v>0.7348399098144642</v>
      </c>
      <c r="J462" t="n">
        <v>0.003474468148236</v>
      </c>
      <c r="K462" t="n">
        <v>0.7993330103503776</v>
      </c>
      <c r="L462" t="b">
        <v>0</v>
      </c>
      <c r="M462" t="b">
        <v>0</v>
      </c>
      <c r="N462" t="inlineStr">
        <is>
          <t>ref</t>
        </is>
      </c>
      <c r="O462" t="n">
        <v>100</v>
      </c>
      <c r="P462" t="n">
        <v>0.0094</v>
      </c>
      <c r="Q462" t="n">
        <v>5</v>
      </c>
      <c r="R462" t="n">
        <v>0.01782</v>
      </c>
      <c r="S462">
        <f>IMAGE("https://mitra.stanford.edu/kundaje/oak/projects/neuro-variants/variant_position/credible/roussos_2024/variant_figures/roussos_2024.adolescence.Astrocyte/rs4757792_count_position.png",4,220,900)</f>
        <v/>
      </c>
      <c r="T462">
        <f>IMAGE("https://mitra.stanford.edu/kundaje/oak/projects/neuro-variants/variant_position/credible/roussos_2024/variant_figures/roussos_2024.adolescence.Astrocyte/rs4757792_profile_position.png",4,220,900)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-0.01652864208</v>
      </c>
      <c r="G463" t="n">
        <v>0.5908999041398155</v>
      </c>
      <c r="H463" t="n">
        <v>0.013895828380311</v>
      </c>
      <c r="I463" t="n">
        <v>0.3966508732498737</v>
      </c>
      <c r="J463" t="n">
        <v>0.0008960626650445</v>
      </c>
      <c r="K463" t="n">
        <v>0.8813276333183523</v>
      </c>
      <c r="L463" t="b">
        <v>0</v>
      </c>
      <c r="M463" t="b">
        <v>0</v>
      </c>
      <c r="N463" t="inlineStr">
        <is>
          <t>ref</t>
        </is>
      </c>
      <c r="O463" t="n">
        <v>-100</v>
      </c>
      <c r="P463" t="n">
        <v>0.00865</v>
      </c>
      <c r="Q463" t="n">
        <v>80</v>
      </c>
      <c r="R463" t="n">
        <v>0.05756</v>
      </c>
      <c r="S463">
        <f>IMAGE("https://mitra.stanford.edu/kundaje/oak/projects/neuro-variants/variant_position/credible/roussos_2024/variant_figures/roussos_2024.adolescence.Astrocyte/rs17234749_count_position.png",4,220,900)</f>
        <v/>
      </c>
      <c r="T463">
        <f>IMAGE("https://mitra.stanford.edu/kundaje/oak/projects/neuro-variants/variant_position/credible/roussos_2024/variant_figures/roussos_2024.adolescence.Astrocyte/rs17234749_profile_position.png",4,220,900)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0.009690539892</v>
      </c>
      <c r="G464" t="n">
        <v>0.7471465307215093</v>
      </c>
      <c r="H464" t="n">
        <v>0.027992090449105</v>
      </c>
      <c r="I464" t="n">
        <v>0.040790917234153</v>
      </c>
      <c r="J464" t="n">
        <v>0.0088463934961279</v>
      </c>
      <c r="K464" t="n">
        <v>0.6714902082345515</v>
      </c>
      <c r="L464" t="b">
        <v>0</v>
      </c>
      <c r="M464" t="b">
        <v>0</v>
      </c>
      <c r="N464" t="inlineStr">
        <is>
          <t>alt</t>
        </is>
      </c>
      <c r="O464" t="n">
        <v>95</v>
      </c>
      <c r="P464" t="n">
        <v>0.002956</v>
      </c>
      <c r="Q464" t="n">
        <v>-90</v>
      </c>
      <c r="R464" t="n">
        <v>0.10815</v>
      </c>
      <c r="S464">
        <f>IMAGE("https://mitra.stanford.edu/kundaje/oak/projects/neuro-variants/variant_position/credible/roussos_2024/variant_figures/roussos_2024.adolescence.Astrocyte/rs1025883_count_position.png",4,220,900)</f>
        <v/>
      </c>
      <c r="T464">
        <f>IMAGE("https://mitra.stanford.edu/kundaje/oak/projects/neuro-variants/variant_position/credible/roussos_2024/variant_figures/roussos_2024.adolescence.Astrocyte/rs1025883_profile_position.png",4,220,900)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-0.03168313054</v>
      </c>
      <c r="G465" t="n">
        <v>0.414584218641967</v>
      </c>
      <c r="H465" t="n">
        <v>0.0324601597281693</v>
      </c>
      <c r="I465" t="n">
        <v>0.022691538497056</v>
      </c>
      <c r="J465" t="n">
        <v>0.0303059074859804</v>
      </c>
      <c r="K465" t="n">
        <v>0.5224421116107314</v>
      </c>
      <c r="L465" t="b">
        <v>0</v>
      </c>
      <c r="M465" t="b">
        <v>0</v>
      </c>
      <c r="N465" t="inlineStr">
        <is>
          <t>ref</t>
        </is>
      </c>
      <c r="O465" t="n">
        <v>75</v>
      </c>
      <c r="P465" t="n">
        <v>0.006805</v>
      </c>
      <c r="Q465" t="n">
        <v>-100</v>
      </c>
      <c r="R465" t="n">
        <v>0.07684000000000001</v>
      </c>
      <c r="S465">
        <f>IMAGE("https://mitra.stanford.edu/kundaje/oak/projects/neuro-variants/variant_position/credible/roussos_2024/variant_figures/roussos_2024.adolescence.Astrocyte/rs11027838_count_position.png",4,220,900)</f>
        <v/>
      </c>
      <c r="T465">
        <f>IMAGE("https://mitra.stanford.edu/kundaje/oak/projects/neuro-variants/variant_position/credible/roussos_2024/variant_figures/roussos_2024.adolescence.Astrocyte/rs11027838_profile_position.png",4,220,900)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0.08114067699999999</v>
      </c>
      <c r="G466" t="n">
        <v>0.1129382035459667</v>
      </c>
      <c r="H466" t="n">
        <v>0.0106921758890127</v>
      </c>
      <c r="I466" t="n">
        <v>0.6756892440792145</v>
      </c>
      <c r="J466" t="n">
        <v>0.007959973889564599</v>
      </c>
      <c r="K466" t="n">
        <v>0.7095511493218345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0.07697</v>
      </c>
      <c r="Q466" t="n">
        <v>-100</v>
      </c>
      <c r="R466" t="n">
        <v>0.271</v>
      </c>
      <c r="S466">
        <f>IMAGE("https://mitra.stanford.edu/kundaje/oak/projects/neuro-variants/variant_position/credible/roussos_2024/variant_figures/roussos_2024.adolescence.Astrocyte/rs72875837_count_position.png",4,220,900)</f>
        <v/>
      </c>
      <c r="T466">
        <f>IMAGE("https://mitra.stanford.edu/kundaje/oak/projects/neuro-variants/variant_position/credible/roussos_2024/variant_figures/roussos_2024.adolescence.Astrocyte/rs72875837_profile_position.png",4,220,900)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-0.0572716412</v>
      </c>
      <c r="G467" t="n">
        <v>0.2001002305946702</v>
      </c>
      <c r="H467" t="n">
        <v>0.0228324288674593</v>
      </c>
      <c r="I467" t="n">
        <v>0.0895031505582939</v>
      </c>
      <c r="J467" t="n">
        <v>0.000399816040115</v>
      </c>
      <c r="K467" t="n">
        <v>0.9434819627092006</v>
      </c>
      <c r="L467" t="b">
        <v>0</v>
      </c>
      <c r="M467" t="b">
        <v>0</v>
      </c>
      <c r="N467" t="inlineStr">
        <is>
          <t>ref</t>
        </is>
      </c>
      <c r="O467" t="n">
        <v>65</v>
      </c>
      <c r="P467" t="n">
        <v>0.00813</v>
      </c>
      <c r="Q467" t="n">
        <v>90</v>
      </c>
      <c r="R467" t="n">
        <v>0.1595</v>
      </c>
      <c r="S467">
        <f>IMAGE("https://mitra.stanford.edu/kundaje/oak/projects/neuro-variants/variant_position/credible/roussos_2024/variant_figures/roussos_2024.adolescence.Astrocyte/rs1470279_count_position.png",4,220,900)</f>
        <v/>
      </c>
      <c r="T467">
        <f>IMAGE("https://mitra.stanford.edu/kundaje/oak/projects/neuro-variants/variant_position/credible/roussos_2024/variant_figures/roussos_2024.adolescence.Astrocyte/rs1470279_profile_position.png",4,220,900)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0.106041566</v>
      </c>
      <c r="G468" t="n">
        <v>0.0789962725115642</v>
      </c>
      <c r="H468" t="n">
        <v>0.0104780410493364</v>
      </c>
      <c r="I468" t="n">
        <v>0.7051837568136418</v>
      </c>
      <c r="J468" t="n">
        <v>0.0454455093018425</v>
      </c>
      <c r="K468" t="n">
        <v>0.4558829900372022</v>
      </c>
      <c r="L468" t="b">
        <v>0</v>
      </c>
      <c r="M468" t="b">
        <v>0</v>
      </c>
      <c r="N468" t="inlineStr">
        <is>
          <t>alt</t>
        </is>
      </c>
      <c r="O468" t="n">
        <v>100</v>
      </c>
      <c r="P468" t="n">
        <v>0.0167</v>
      </c>
      <c r="Q468" t="n">
        <v>5</v>
      </c>
      <c r="R468" t="n">
        <v>0.009766</v>
      </c>
      <c r="S468">
        <f>IMAGE("https://mitra.stanford.edu/kundaje/oak/projects/neuro-variants/variant_position/credible/roussos_2024/variant_figures/roussos_2024.adolescence.Astrocyte/rs35846200_count_position.png",4,220,900)</f>
        <v/>
      </c>
      <c r="T468">
        <f>IMAGE("https://mitra.stanford.edu/kundaje/oak/projects/neuro-variants/variant_position/credible/roussos_2024/variant_figures/roussos_2024.adolescence.Astrocyte/rs35846200_profile_position.png",4,220,900)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0.06741801</v>
      </c>
      <c r="G469" t="n">
        <v>0.1517863876260548</v>
      </c>
      <c r="H469" t="n">
        <v>0.0089959957484017</v>
      </c>
      <c r="I469" t="n">
        <v>0.8317212966036482</v>
      </c>
      <c r="J469" t="n">
        <v>0.0012825267780316</v>
      </c>
      <c r="K469" t="n">
        <v>0.8612002119396889</v>
      </c>
      <c r="L469" t="b">
        <v>0</v>
      </c>
      <c r="M469" t="b">
        <v>0</v>
      </c>
      <c r="N469" t="inlineStr">
        <is>
          <t>alt</t>
        </is>
      </c>
      <c r="O469" t="n">
        <v>-90</v>
      </c>
      <c r="P469" t="n">
        <v>0.003998</v>
      </c>
      <c r="Q469" t="n">
        <v>100</v>
      </c>
      <c r="R469" t="n">
        <v>0.1355</v>
      </c>
      <c r="S469">
        <f>IMAGE("https://mitra.stanford.edu/kundaje/oak/projects/neuro-variants/variant_position/credible/roussos_2024/variant_figures/roussos_2024.adolescence.Astrocyte/rs11027859_count_position.png",4,220,900)</f>
        <v/>
      </c>
      <c r="T469">
        <f>IMAGE("https://mitra.stanford.edu/kundaje/oak/projects/neuro-variants/variant_position/credible/roussos_2024/variant_figures/roussos_2024.adolescence.Astrocyte/rs11027859_profile_position.png",4,220,900)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0.0109587188</v>
      </c>
      <c r="G470" t="n">
        <v>0.7116699966553021</v>
      </c>
      <c r="H470" t="n">
        <v>0.0179239302082541</v>
      </c>
      <c r="I470" t="n">
        <v>0.1966219874293439</v>
      </c>
      <c r="J470" t="n">
        <v>0.0402241640210069</v>
      </c>
      <c r="K470" t="n">
        <v>0.4698794990066176</v>
      </c>
      <c r="L470" t="b">
        <v>0</v>
      </c>
      <c r="M470" t="b">
        <v>0</v>
      </c>
      <c r="N470" t="inlineStr">
        <is>
          <t>alt</t>
        </is>
      </c>
      <c r="O470" t="n">
        <v>-100</v>
      </c>
      <c r="P470" t="n">
        <v>0.015366</v>
      </c>
      <c r="Q470" t="n">
        <v>5</v>
      </c>
      <c r="R470" t="n">
        <v>0.02661</v>
      </c>
      <c r="S470">
        <f>IMAGE("https://mitra.stanford.edu/kundaje/oak/projects/neuro-variants/variant_position/credible/roussos_2024/variant_figures/roussos_2024.adolescence.Astrocyte/rs11027983_count_position.png",4,220,900)</f>
        <v/>
      </c>
      <c r="T470">
        <f>IMAGE("https://mitra.stanford.edu/kundaje/oak/projects/neuro-variants/variant_position/credible/roussos_2024/variant_figures/roussos_2024.adolescence.Astrocyte/rs11027983_profile_position.png",4,220,900)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-0.0526198174</v>
      </c>
      <c r="G471" t="n">
        <v>0.178825100110725</v>
      </c>
      <c r="H471" t="n">
        <v>0.0239210099603231</v>
      </c>
      <c r="I471" t="n">
        <v>0.0736458586830445</v>
      </c>
      <c r="J471" t="n">
        <v>0.0288001068154169</v>
      </c>
      <c r="K471" t="n">
        <v>0.5378039680673578</v>
      </c>
      <c r="L471" t="b">
        <v>0</v>
      </c>
      <c r="M471" t="b">
        <v>0</v>
      </c>
      <c r="N471" t="inlineStr">
        <is>
          <t>ref</t>
        </is>
      </c>
      <c r="O471" t="n">
        <v>-30</v>
      </c>
      <c r="P471" t="n">
        <v>0.00537</v>
      </c>
      <c r="Q471" t="n">
        <v>-40</v>
      </c>
      <c r="R471" t="n">
        <v>0.11914</v>
      </c>
      <c r="S471">
        <f>IMAGE("https://mitra.stanford.edu/kundaje/oak/projects/neuro-variants/variant_position/credible/roussos_2024/variant_figures/roussos_2024.adolescence.Astrocyte/rs1396844_count_position.png",4,220,900)</f>
        <v/>
      </c>
      <c r="T471">
        <f>IMAGE("https://mitra.stanford.edu/kundaje/oak/projects/neuro-variants/variant_position/credible/roussos_2024/variant_figures/roussos_2024.adolescence.Astrocyte/rs1396844_profile_position.png",4,220,900)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0.0365059151999999</v>
      </c>
      <c r="G472" t="n">
        <v>0.3316952819453855</v>
      </c>
      <c r="H472" t="n">
        <v>0.015231315568139</v>
      </c>
      <c r="I472" t="n">
        <v>0.3101818725675793</v>
      </c>
      <c r="J472" t="n">
        <v>0.0008982879862326</v>
      </c>
      <c r="K472" t="n">
        <v>0.883759588919485</v>
      </c>
      <c r="L472" t="b">
        <v>0</v>
      </c>
      <c r="M472" t="b">
        <v>0</v>
      </c>
      <c r="N472" t="inlineStr">
        <is>
          <t>alt</t>
        </is>
      </c>
      <c r="O472" t="n">
        <v>-60</v>
      </c>
      <c r="P472" t="n">
        <v>0.00648</v>
      </c>
      <c r="Q472" t="n">
        <v>-60</v>
      </c>
      <c r="R472" t="n">
        <v>0.1471</v>
      </c>
      <c r="S472">
        <f>IMAGE("https://mitra.stanford.edu/kundaje/oak/projects/neuro-variants/variant_position/credible/roussos_2024/variant_figures/roussos_2024.adolescence.Astrocyte/rs11028002_count_position.png",4,220,900)</f>
        <v/>
      </c>
      <c r="T472">
        <f>IMAGE("https://mitra.stanford.edu/kundaje/oak/projects/neuro-variants/variant_position/credible/roussos_2024/variant_figures/roussos_2024.adolescence.Astrocyte/rs11028002_profile_position.png",4,220,900)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0.0209057824</v>
      </c>
      <c r="G473" t="n">
        <v>0.5227961270217643</v>
      </c>
      <c r="H473" t="n">
        <v>0.0289451461909601</v>
      </c>
      <c r="I473" t="n">
        <v>0.0360121766114222</v>
      </c>
      <c r="J473" t="n">
        <v>0.0009465032786398</v>
      </c>
      <c r="K473" t="n">
        <v>0.8935729327206174</v>
      </c>
      <c r="L473" t="b">
        <v>0</v>
      </c>
      <c r="M473" t="b">
        <v>0</v>
      </c>
      <c r="N473" t="inlineStr">
        <is>
          <t>alt</t>
        </is>
      </c>
      <c r="O473" t="n">
        <v>-95</v>
      </c>
      <c r="P473" t="n">
        <v>0.01215</v>
      </c>
      <c r="Q473" t="n">
        <v>40</v>
      </c>
      <c r="R473" t="n">
        <v>0.08716</v>
      </c>
      <c r="S473">
        <f>IMAGE("https://mitra.stanford.edu/kundaje/oak/projects/neuro-variants/variant_position/credible/roussos_2024/variant_figures/roussos_2024.adolescence.Astrocyte/rs11028007_count_position.png",4,220,900)</f>
        <v/>
      </c>
      <c r="T473">
        <f>IMAGE("https://mitra.stanford.edu/kundaje/oak/projects/neuro-variants/variant_position/credible/roussos_2024/variant_figures/roussos_2024.adolescence.Astrocyte/rs11028007_profile_position.png",4,220,900)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0.0211381642799999</v>
      </c>
      <c r="G474" t="n">
        <v>0.5498987982273102</v>
      </c>
      <c r="H474" t="n">
        <v>0.008994368907985001</v>
      </c>
      <c r="I474" t="n">
        <v>0.8537501440287796</v>
      </c>
      <c r="J474" t="n">
        <v>0.0009479868260985</v>
      </c>
      <c r="K474" t="n">
        <v>0.895768405185044</v>
      </c>
      <c r="L474" t="b">
        <v>0</v>
      </c>
      <c r="M474" t="b">
        <v>0</v>
      </c>
      <c r="N474" t="inlineStr">
        <is>
          <t>alt</t>
        </is>
      </c>
      <c r="O474" t="n">
        <v>0</v>
      </c>
      <c r="P474" t="n">
        <v>0</v>
      </c>
      <c r="Q474" t="n">
        <v>5</v>
      </c>
      <c r="R474" t="n">
        <v>0.009639999999999999</v>
      </c>
      <c r="S474">
        <f>IMAGE("https://mitra.stanford.edu/kundaje/oak/projects/neuro-variants/variant_position/credible/roussos_2024/variant_figures/roussos_2024.adolescence.Astrocyte/rs10834383_count_position.png",4,220,900)</f>
        <v/>
      </c>
      <c r="T474">
        <f>IMAGE("https://mitra.stanford.edu/kundaje/oak/projects/neuro-variants/variant_position/credible/roussos_2024/variant_figures/roussos_2024.adolescence.Astrocyte/rs10834383_profile_position.png",4,220,900)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-0.005317482828</v>
      </c>
      <c r="G475" t="n">
        <v>0.8663140442104729</v>
      </c>
      <c r="H475" t="n">
        <v>0.0077595874377605</v>
      </c>
      <c r="I475" t="n">
        <v>0.9419503181086692</v>
      </c>
      <c r="J475" t="n">
        <v>0.08094309111948481</v>
      </c>
      <c r="K475" t="n">
        <v>0.3589533621690185</v>
      </c>
      <c r="L475" t="b">
        <v>0</v>
      </c>
      <c r="M475" t="b">
        <v>0</v>
      </c>
      <c r="N475" t="inlineStr">
        <is>
          <t>ref</t>
        </is>
      </c>
      <c r="O475" t="n">
        <v>90</v>
      </c>
      <c r="P475" t="n">
        <v>0.01516</v>
      </c>
      <c r="Q475" t="n">
        <v>-65</v>
      </c>
      <c r="R475" t="n">
        <v>0.08325</v>
      </c>
      <c r="S475">
        <f>IMAGE("https://mitra.stanford.edu/kundaje/oak/projects/neuro-variants/variant_position/credible/roussos_2024/variant_figures/roussos_2024.adolescence.Astrocyte/rs1509611_count_position.png",4,220,900)</f>
        <v/>
      </c>
      <c r="T475">
        <f>IMAGE("https://mitra.stanford.edu/kundaje/oak/projects/neuro-variants/variant_position/credible/roussos_2024/variant_figures/roussos_2024.adolescence.Astrocyte/rs1509611_profile_position.png",4,220,900)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0.066221195</v>
      </c>
      <c r="G476" t="n">
        <v>0.160806707479491</v>
      </c>
      <c r="H476" t="n">
        <v>0.0100615211802028</v>
      </c>
      <c r="I476" t="n">
        <v>0.7523238513373888</v>
      </c>
      <c r="J476" t="n">
        <v>0.0030123431148562</v>
      </c>
      <c r="K476" t="n">
        <v>0.7910174875015281</v>
      </c>
      <c r="L476" t="b">
        <v>0</v>
      </c>
      <c r="M476" t="b">
        <v>0</v>
      </c>
      <c r="N476" t="inlineStr">
        <is>
          <t>alt</t>
        </is>
      </c>
      <c r="O476" t="n">
        <v>-100</v>
      </c>
      <c r="P476" t="n">
        <v>0.004047</v>
      </c>
      <c r="Q476" t="n">
        <v>20</v>
      </c>
      <c r="R476" t="n">
        <v>0.03806</v>
      </c>
      <c r="S476">
        <f>IMAGE("https://mitra.stanford.edu/kundaje/oak/projects/neuro-variants/variant_position/credible/roussos_2024/variant_figures/roussos_2024.adolescence.Astrocyte/rs11028012_count_position.png",4,220,900)</f>
        <v/>
      </c>
      <c r="T476">
        <f>IMAGE("https://mitra.stanford.edu/kundaje/oak/projects/neuro-variants/variant_position/credible/roussos_2024/variant_figures/roussos_2024.adolescence.Astrocyte/rs11028012_profile_position.png",4,220,900)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-0.0157442822399999</v>
      </c>
      <c r="G477" t="n">
        <v>0.629473756398187</v>
      </c>
      <c r="H477" t="n">
        <v>0.0483434603506002</v>
      </c>
      <c r="I477" t="n">
        <v>0.0045540641937104</v>
      </c>
      <c r="J477" t="n">
        <v>0.0015784944960388</v>
      </c>
      <c r="K477" t="n">
        <v>0.8350720306136797</v>
      </c>
      <c r="L477" t="b">
        <v>0</v>
      </c>
      <c r="M477" t="b">
        <v>0</v>
      </c>
      <c r="N477" t="inlineStr">
        <is>
          <t>ref</t>
        </is>
      </c>
      <c r="O477" t="n">
        <v>-75</v>
      </c>
      <c r="P477" t="n">
        <v>0.009310000000000001</v>
      </c>
      <c r="Q477" t="n">
        <v>-55</v>
      </c>
      <c r="R477" t="n">
        <v>0.0638</v>
      </c>
      <c r="S477">
        <f>IMAGE("https://mitra.stanford.edu/kundaje/oak/projects/neuro-variants/variant_position/credible/roussos_2024/variant_figures/roussos_2024.adolescence.Astrocyte/rs1509615_count_position.png",4,220,900)</f>
        <v/>
      </c>
      <c r="T477">
        <f>IMAGE("https://mitra.stanford.edu/kundaje/oak/projects/neuro-variants/variant_position/credible/roussos_2024/variant_figures/roussos_2024.adolescence.Astrocyte/rs1509615_profile_position.png",4,220,900)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-0.0067415688399999</v>
      </c>
      <c r="G478" t="n">
        <v>0.8066409723491405</v>
      </c>
      <c r="H478" t="n">
        <v>0.009031234269065901</v>
      </c>
      <c r="I478" t="n">
        <v>0.8479975507001324</v>
      </c>
      <c r="J478" t="n">
        <v>0.0022661187431385</v>
      </c>
      <c r="K478" t="n">
        <v>0.8059213803331594</v>
      </c>
      <c r="L478" t="b">
        <v>0</v>
      </c>
      <c r="M478" t="b">
        <v>0</v>
      </c>
      <c r="N478" t="inlineStr">
        <is>
          <t>ref</t>
        </is>
      </c>
      <c r="O478" t="n">
        <v>5</v>
      </c>
      <c r="P478" t="n">
        <v>0.001465</v>
      </c>
      <c r="Q478" t="n">
        <v>-100</v>
      </c>
      <c r="R478" t="n">
        <v>0.0835</v>
      </c>
      <c r="S478">
        <f>IMAGE("https://mitra.stanford.edu/kundaje/oak/projects/neuro-variants/variant_position/credible/roussos_2024/variant_figures/roussos_2024.adolescence.Astrocyte/rs6484058_count_position.png",4,220,900)</f>
        <v/>
      </c>
      <c r="T478">
        <f>IMAGE("https://mitra.stanford.edu/kundaje/oak/projects/neuro-variants/variant_position/credible/roussos_2024/variant_figures/roussos_2024.adolescence.Astrocyte/rs6484058_profile_position.png",4,220,900)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0.0490330224</v>
      </c>
      <c r="G479" t="n">
        <v>0.2779353227787513</v>
      </c>
      <c r="H479" t="n">
        <v>0.0117624995568772</v>
      </c>
      <c r="I479" t="n">
        <v>0.579983948711481</v>
      </c>
      <c r="J479" t="n">
        <v>0.0220499658784084</v>
      </c>
      <c r="K479" t="n">
        <v>0.5613386917785782</v>
      </c>
      <c r="L479" t="b">
        <v>0</v>
      </c>
      <c r="M479" t="b">
        <v>0</v>
      </c>
      <c r="N479" t="inlineStr">
        <is>
          <t>alt</t>
        </is>
      </c>
      <c r="O479" t="n">
        <v>-40</v>
      </c>
      <c r="P479" t="n">
        <v>0.0003052</v>
      </c>
      <c r="Q479" t="n">
        <v>90</v>
      </c>
      <c r="R479" t="n">
        <v>0.189</v>
      </c>
      <c r="S479">
        <f>IMAGE("https://mitra.stanford.edu/kundaje/oak/projects/neuro-variants/variant_position/credible/roussos_2024/variant_figures/roussos_2024.adolescence.Astrocyte/rs11028020_count_position.png",4,220,900)</f>
        <v/>
      </c>
      <c r="T479">
        <f>IMAGE("https://mitra.stanford.edu/kundaje/oak/projects/neuro-variants/variant_position/credible/roussos_2024/variant_figures/roussos_2024.adolescence.Astrocyte/rs11028020_profile_position.png",4,220,900)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0.01248581348</v>
      </c>
      <c r="G480" t="n">
        <v>0.6894974492362216</v>
      </c>
      <c r="H480" t="n">
        <v>0.024237323676018</v>
      </c>
      <c r="I480" t="n">
        <v>0.07203195175247649</v>
      </c>
      <c r="J480" t="n">
        <v>0.008188440198201899</v>
      </c>
      <c r="K480" t="n">
        <v>0.688676564359357</v>
      </c>
      <c r="L480" t="b">
        <v>0</v>
      </c>
      <c r="M480" t="b">
        <v>0</v>
      </c>
      <c r="N480" t="inlineStr">
        <is>
          <t>alt</t>
        </is>
      </c>
      <c r="O480" t="n">
        <v>-100</v>
      </c>
      <c r="P480" t="n">
        <v>0.0005646</v>
      </c>
      <c r="Q480" t="n">
        <v>-100</v>
      </c>
      <c r="R480" t="n">
        <v>0.0982</v>
      </c>
      <c r="S480">
        <f>IMAGE("https://mitra.stanford.edu/kundaje/oak/projects/neuro-variants/variant_position/credible/roussos_2024/variant_figures/roussos_2024.adolescence.Astrocyte/rs34167424_count_position.png",4,220,900)</f>
        <v/>
      </c>
      <c r="T480">
        <f>IMAGE("https://mitra.stanford.edu/kundaje/oak/projects/neuro-variants/variant_position/credible/roussos_2024/variant_figures/roussos_2024.adolescence.Astrocyte/rs34167424_profile_position.png",4,220,900)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-0.0374264854</v>
      </c>
      <c r="G481" t="n">
        <v>0.3427633989112905</v>
      </c>
      <c r="H481" t="n">
        <v>0.0307929547948727</v>
      </c>
      <c r="I481" t="n">
        <v>0.0284662228384239</v>
      </c>
      <c r="J481" t="n">
        <v>0.0005251758003738</v>
      </c>
      <c r="K481" t="n">
        <v>0.9260352121555242</v>
      </c>
      <c r="L481" t="b">
        <v>0</v>
      </c>
      <c r="M481" t="b">
        <v>0</v>
      </c>
      <c r="N481" t="inlineStr">
        <is>
          <t>ref</t>
        </is>
      </c>
      <c r="O481" t="n">
        <v>-40</v>
      </c>
      <c r="P481" t="n">
        <v>0.0003452</v>
      </c>
      <c r="Q481" t="n">
        <v>0</v>
      </c>
      <c r="R481" t="n">
        <v>0</v>
      </c>
      <c r="S481">
        <f>IMAGE("https://mitra.stanford.edu/kundaje/oak/projects/neuro-variants/variant_position/credible/roussos_2024/variant_figures/roussos_2024.adolescence.Astrocyte/rs1876822_count_position.png",4,220,900)</f>
        <v/>
      </c>
      <c r="T481">
        <f>IMAGE("https://mitra.stanford.edu/kundaje/oak/projects/neuro-variants/variant_position/credible/roussos_2024/variant_figures/roussos_2024.adolescence.Astrocyte/rs1876822_profile_position.png",4,220,900)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-0.0087627926999999</v>
      </c>
      <c r="G482" t="n">
        <v>0.7775857567220469</v>
      </c>
      <c r="H482" t="n">
        <v>0.0219651911961603</v>
      </c>
      <c r="I482" t="n">
        <v>0.0994358537732252</v>
      </c>
      <c r="J482" t="n">
        <v>0.0170481856214579</v>
      </c>
      <c r="K482" t="n">
        <v>0.622332032988397</v>
      </c>
      <c r="L482" t="b">
        <v>0</v>
      </c>
      <c r="M482" t="b">
        <v>0</v>
      </c>
      <c r="N482" t="inlineStr">
        <is>
          <t>ref</t>
        </is>
      </c>
      <c r="O482" t="n">
        <v>100</v>
      </c>
      <c r="P482" t="n">
        <v>0.01625</v>
      </c>
      <c r="Q482" t="n">
        <v>-35</v>
      </c>
      <c r="R482" t="n">
        <v>0.07480000000000001</v>
      </c>
      <c r="S482">
        <f>IMAGE("https://mitra.stanford.edu/kundaje/oak/projects/neuro-variants/variant_position/credible/roussos_2024/variant_figures/roussos_2024.adolescence.Astrocyte/rs1509588_count_position.png",4,220,900)</f>
        <v/>
      </c>
      <c r="T482">
        <f>IMAGE("https://mitra.stanford.edu/kundaje/oak/projects/neuro-variants/variant_position/credible/roussos_2024/variant_figures/roussos_2024.adolescence.Astrocyte/rs1509588_profile_position.png",4,220,900)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0.021274829</v>
      </c>
      <c r="G483" t="n">
        <v>0.5350119827474624</v>
      </c>
      <c r="H483" t="n">
        <v>0.0260405869114156</v>
      </c>
      <c r="I483" t="n">
        <v>0.0546492220178998</v>
      </c>
      <c r="J483" t="n">
        <v>0.0552584339673025</v>
      </c>
      <c r="K483" t="n">
        <v>0.4244965780267828</v>
      </c>
      <c r="L483" t="b">
        <v>0</v>
      </c>
      <c r="M483" t="b">
        <v>0</v>
      </c>
      <c r="N483" t="inlineStr">
        <is>
          <t>alt</t>
        </is>
      </c>
      <c r="O483" t="n">
        <v>-40</v>
      </c>
      <c r="P483" t="n">
        <v>0.000839</v>
      </c>
      <c r="Q483" t="n">
        <v>-35</v>
      </c>
      <c r="R483" t="n">
        <v>0.03528</v>
      </c>
      <c r="S483">
        <f>IMAGE("https://mitra.stanford.edu/kundaje/oak/projects/neuro-variants/variant_position/credible/roussos_2024/variant_figures/roussos_2024.adolescence.Astrocyte/rs10834390_count_position.png",4,220,900)</f>
        <v/>
      </c>
      <c r="T483">
        <f>IMAGE("https://mitra.stanford.edu/kundaje/oak/projects/neuro-variants/variant_position/credible/roussos_2024/variant_figures/roussos_2024.adolescence.Astrocyte/rs10834390_profile_position.png",4,220,900)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0.0004734276599999</v>
      </c>
      <c r="G484" t="n">
        <v>0.7729658205103043</v>
      </c>
      <c r="H484" t="n">
        <v>0.0162880901541388</v>
      </c>
      <c r="I484" t="n">
        <v>0.2589463902840416</v>
      </c>
      <c r="J484" t="n">
        <v>0.0026243954544105</v>
      </c>
      <c r="K484" t="n">
        <v>0.8208192479445607</v>
      </c>
      <c r="L484" t="b">
        <v>0</v>
      </c>
      <c r="M484" t="b">
        <v>0</v>
      </c>
      <c r="N484" t="inlineStr">
        <is>
          <t>alt</t>
        </is>
      </c>
      <c r="O484" t="n">
        <v>-100</v>
      </c>
      <c r="P484" t="n">
        <v>0.00747</v>
      </c>
      <c r="Q484" t="n">
        <v>5</v>
      </c>
      <c r="R484" t="n">
        <v>0.007484</v>
      </c>
      <c r="S484">
        <f>IMAGE("https://mitra.stanford.edu/kundaje/oak/projects/neuro-variants/variant_position/credible/roussos_2024/variant_figures/roussos_2024.adolescence.Astrocyte/rs10767214_count_position.png",4,220,900)</f>
        <v/>
      </c>
      <c r="T484">
        <f>IMAGE("https://mitra.stanford.edu/kundaje/oak/projects/neuro-variants/variant_position/credible/roussos_2024/variant_figures/roussos_2024.adolescence.Astrocyte/rs10767214_profile_position.png",4,220,900)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-0.0068362816</v>
      </c>
      <c r="G485" t="n">
        <v>0.6636829273299476</v>
      </c>
      <c r="H485" t="n">
        <v>0.0077876860954745</v>
      </c>
      <c r="I485" t="n">
        <v>0.9379873234630488</v>
      </c>
      <c r="J485" t="n">
        <v>0.0017476189063287</v>
      </c>
      <c r="K485" t="n">
        <v>0.8329999765404655</v>
      </c>
      <c r="L485" t="b">
        <v>0</v>
      </c>
      <c r="M485" t="b">
        <v>0</v>
      </c>
      <c r="N485" t="inlineStr">
        <is>
          <t>ref</t>
        </is>
      </c>
      <c r="O485" t="n">
        <v>0</v>
      </c>
      <c r="P485" t="n">
        <v>0</v>
      </c>
      <c r="Q485" t="n">
        <v>45</v>
      </c>
      <c r="R485" t="n">
        <v>0.1125</v>
      </c>
      <c r="S485">
        <f>IMAGE("https://mitra.stanford.edu/kundaje/oak/projects/neuro-variants/variant_position/credible/roussos_2024/variant_figures/roussos_2024.adolescence.Astrocyte/rs7118822_count_position.png",4,220,900)</f>
        <v/>
      </c>
      <c r="T485">
        <f>IMAGE("https://mitra.stanford.edu/kundaje/oak/projects/neuro-variants/variant_position/credible/roussos_2024/variant_figures/roussos_2024.adolescence.Astrocyte/rs7118822_profile_position.png",4,220,900)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-0.134133096</v>
      </c>
      <c r="G486" t="n">
        <v>0.0447168455205632</v>
      </c>
      <c r="H486" t="n">
        <v>0.0166392089712742</v>
      </c>
      <c r="I486" t="n">
        <v>0.2455424793072993</v>
      </c>
      <c r="J486" t="n">
        <v>0.0141671364566951</v>
      </c>
      <c r="K486" t="n">
        <v>0.6272120499231142</v>
      </c>
      <c r="L486" t="b">
        <v>0</v>
      </c>
      <c r="M486" t="b">
        <v>0</v>
      </c>
      <c r="N486" t="inlineStr">
        <is>
          <t>ref</t>
        </is>
      </c>
      <c r="O486" t="n">
        <v>75</v>
      </c>
      <c r="P486" t="n">
        <v>0.010345</v>
      </c>
      <c r="Q486" t="n">
        <v>85</v>
      </c>
      <c r="R486" t="n">
        <v>0.1646</v>
      </c>
      <c r="S486">
        <f>IMAGE("https://mitra.stanford.edu/kundaje/oak/projects/neuro-variants/variant_position/credible/roussos_2024/variant_figures/roussos_2024.adolescence.Astrocyte/rs1396842_count_position.png",4,220,900)</f>
        <v/>
      </c>
      <c r="T486">
        <f>IMAGE("https://mitra.stanford.edu/kundaje/oak/projects/neuro-variants/variant_position/credible/roussos_2024/variant_figures/roussos_2024.adolescence.Astrocyte/rs1396842_profile_position.png",4,220,900)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0.02264496646</v>
      </c>
      <c r="G487" t="n">
        <v>0.4839210856905441</v>
      </c>
      <c r="H487" t="n">
        <v>0.0117821340648291</v>
      </c>
      <c r="I487" t="n">
        <v>0.5729561539839498</v>
      </c>
      <c r="J487" t="n">
        <v>0.0260889238346734</v>
      </c>
      <c r="K487" t="n">
        <v>0.5430731926143049</v>
      </c>
      <c r="L487" t="b">
        <v>0</v>
      </c>
      <c r="M487" t="b">
        <v>0</v>
      </c>
      <c r="N487" t="inlineStr">
        <is>
          <t>alt</t>
        </is>
      </c>
      <c r="O487" t="n">
        <v>25</v>
      </c>
      <c r="P487" t="n">
        <v>0.002003</v>
      </c>
      <c r="Q487" t="n">
        <v>90</v>
      </c>
      <c r="R487" t="n">
        <v>0.0379</v>
      </c>
      <c r="S487">
        <f>IMAGE("https://mitra.stanford.edu/kundaje/oak/projects/neuro-variants/variant_position/credible/roussos_2024/variant_figures/roussos_2024.adolescence.Astrocyte/rs7113337_count_position.png",4,220,900)</f>
        <v/>
      </c>
      <c r="T487">
        <f>IMAGE("https://mitra.stanford.edu/kundaje/oak/projects/neuro-variants/variant_position/credible/roussos_2024/variant_figures/roussos_2024.adolescence.Astrocyte/rs7113337_profile_position.png",4,220,900)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-0.0322289348</v>
      </c>
      <c r="G488" t="n">
        <v>0.3970007649545366</v>
      </c>
      <c r="H488" t="n">
        <v>0.0082941495163857</v>
      </c>
      <c r="I488" t="n">
        <v>0.908298892492215</v>
      </c>
      <c r="J488" t="n">
        <v>0.003331305818473</v>
      </c>
      <c r="K488" t="n">
        <v>0.7926482421289555</v>
      </c>
      <c r="L488" t="b">
        <v>0</v>
      </c>
      <c r="M488" t="b">
        <v>0</v>
      </c>
      <c r="N488" t="inlineStr">
        <is>
          <t>ref</t>
        </is>
      </c>
      <c r="O488" t="n">
        <v>25</v>
      </c>
      <c r="P488" t="n">
        <v>0.02171</v>
      </c>
      <c r="Q488" t="n">
        <v>90</v>
      </c>
      <c r="R488" t="n">
        <v>0.03802</v>
      </c>
      <c r="S488">
        <f>IMAGE("https://mitra.stanford.edu/kundaje/oak/projects/neuro-variants/variant_position/credible/roussos_2024/variant_figures/roussos_2024.adolescence.Astrocyte/rs11606190_count_position.png",4,220,900)</f>
        <v/>
      </c>
      <c r="T488">
        <f>IMAGE("https://mitra.stanford.edu/kundaje/oak/projects/neuro-variants/variant_position/credible/roussos_2024/variant_figures/roussos_2024.adolescence.Astrocyte/rs11606190_profile_position.png",4,220,900)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0.012834350794</v>
      </c>
      <c r="G489" t="n">
        <v>0.6294141584487964</v>
      </c>
      <c r="H489" t="n">
        <v>0.0270269370184909</v>
      </c>
      <c r="I489" t="n">
        <v>0.0478508785341164</v>
      </c>
      <c r="J489" t="n">
        <v>0.0062153220781532</v>
      </c>
      <c r="K489" t="n">
        <v>0.7254727100929288</v>
      </c>
      <c r="L489" t="b">
        <v>0</v>
      </c>
      <c r="M489" t="b">
        <v>0</v>
      </c>
      <c r="N489" t="inlineStr">
        <is>
          <t>alt</t>
        </is>
      </c>
      <c r="O489" t="n">
        <v>100</v>
      </c>
      <c r="P489" t="n">
        <v>0.02184</v>
      </c>
      <c r="Q489" t="n">
        <v>15</v>
      </c>
      <c r="R489" t="n">
        <v>0.03235</v>
      </c>
      <c r="S489">
        <f>IMAGE("https://mitra.stanford.edu/kundaje/oak/projects/neuro-variants/variant_position/credible/roussos_2024/variant_figures/roussos_2024.adolescence.Astrocyte/rs12273233_count_position.png",4,220,900)</f>
        <v/>
      </c>
      <c r="T489">
        <f>IMAGE("https://mitra.stanford.edu/kundaje/oak/projects/neuro-variants/variant_position/credible/roussos_2024/variant_figures/roussos_2024.adolescence.Astrocyte/rs12273233_profile_position.png",4,220,900)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0.0033039909799999</v>
      </c>
      <c r="G490" t="n">
        <v>0.716047305508989</v>
      </c>
      <c r="H490" t="n">
        <v>0.0234155033708737</v>
      </c>
      <c r="I490" t="n">
        <v>0.07937951379518909</v>
      </c>
      <c r="J490" t="n">
        <v>0.0101259531792421</v>
      </c>
      <c r="K490" t="n">
        <v>0.6728766231915594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0.0864</v>
      </c>
      <c r="Q490" t="n">
        <v>-85</v>
      </c>
      <c r="R490" t="n">
        <v>0.1826</v>
      </c>
      <c r="S490">
        <f>IMAGE("https://mitra.stanford.edu/kundaje/oak/projects/neuro-variants/variant_position/credible/roussos_2024/variant_figures/roussos_2024.adolescence.Astrocyte/rs12292666_count_position.png",4,220,900)</f>
        <v/>
      </c>
      <c r="T490">
        <f>IMAGE("https://mitra.stanford.edu/kundaje/oak/projects/neuro-variants/variant_position/credible/roussos_2024/variant_figures/roussos_2024.adolescence.Astrocyte/rs12292666_profile_position.png",4,220,900)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-0.02249762</v>
      </c>
      <c r="G491" t="n">
        <v>0.5232585330861426</v>
      </c>
      <c r="H491" t="n">
        <v>0.0119668855947739</v>
      </c>
      <c r="I491" t="n">
        <v>0.5616971426503458</v>
      </c>
      <c r="J491" t="n">
        <v>0.0024597216864967</v>
      </c>
      <c r="K491" t="n">
        <v>0.8050473532391775</v>
      </c>
      <c r="L491" t="b">
        <v>0</v>
      </c>
      <c r="M491" t="b">
        <v>0</v>
      </c>
      <c r="N491" t="inlineStr">
        <is>
          <t>ref</t>
        </is>
      </c>
      <c r="O491" t="n">
        <v>95</v>
      </c>
      <c r="P491" t="n">
        <v>0.01484</v>
      </c>
      <c r="Q491" t="n">
        <v>10</v>
      </c>
      <c r="R491" t="n">
        <v>0.009155</v>
      </c>
      <c r="S491">
        <f>IMAGE("https://mitra.stanford.edu/kundaje/oak/projects/neuro-variants/variant_position/credible/roussos_2024/variant_figures/roussos_2024.adolescence.Astrocyte/rs12278238_count_position.png",4,220,900)</f>
        <v/>
      </c>
      <c r="T491">
        <f>IMAGE("https://mitra.stanford.edu/kundaje/oak/projects/neuro-variants/variant_position/credible/roussos_2024/variant_figures/roussos_2024.adolescence.Astrocyte/rs12278238_profile_position.png",4,220,900)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0.0356684618</v>
      </c>
      <c r="G492" t="n">
        <v>0.3314060797282717</v>
      </c>
      <c r="H492" t="n">
        <v>0.0327815546462825</v>
      </c>
      <c r="I492" t="n">
        <v>0.0222252933560859</v>
      </c>
      <c r="J492" t="n">
        <v>0.0098099575705426</v>
      </c>
      <c r="K492" t="n">
        <v>0.670660937452244</v>
      </c>
      <c r="L492" t="b">
        <v>0</v>
      </c>
      <c r="M492" t="b">
        <v>0</v>
      </c>
      <c r="N492" t="inlineStr">
        <is>
          <t>alt</t>
        </is>
      </c>
      <c r="O492" t="n">
        <v>-75</v>
      </c>
      <c r="P492" t="n">
        <v>0.003418</v>
      </c>
      <c r="Q492" t="n">
        <v>-100</v>
      </c>
      <c r="R492" t="n">
        <v>0.1239</v>
      </c>
      <c r="S492">
        <f>IMAGE("https://mitra.stanford.edu/kundaje/oak/projects/neuro-variants/variant_position/credible/roussos_2024/variant_figures/roussos_2024.adolescence.Astrocyte/rs113123159_count_position.png",4,220,900)</f>
        <v/>
      </c>
      <c r="T492">
        <f>IMAGE("https://mitra.stanford.edu/kundaje/oak/projects/neuro-variants/variant_position/credible/roussos_2024/variant_figures/roussos_2024.adolescence.Astrocyte/rs113123159_profile_position.png",4,220,900)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-0.0061742926</v>
      </c>
      <c r="G493" t="n">
        <v>0.4288597125571028</v>
      </c>
      <c r="H493" t="n">
        <v>0.0081003111658246</v>
      </c>
      <c r="I493" t="n">
        <v>0.9194075501130706</v>
      </c>
      <c r="J493" t="n">
        <v>0.0299157345043467</v>
      </c>
      <c r="K493" t="n">
        <v>0.5154450829753471</v>
      </c>
      <c r="L493" t="b">
        <v>0</v>
      </c>
      <c r="M493" t="b">
        <v>0</v>
      </c>
      <c r="N493" t="inlineStr">
        <is>
          <t>ref</t>
        </is>
      </c>
      <c r="O493" t="n">
        <v>75</v>
      </c>
      <c r="P493" t="n">
        <v>0.006065</v>
      </c>
      <c r="Q493" t="n">
        <v>100</v>
      </c>
      <c r="R493" t="n">
        <v>0.2656</v>
      </c>
      <c r="S493">
        <f>IMAGE("https://mitra.stanford.edu/kundaje/oak/projects/neuro-variants/variant_position/credible/roussos_2024/variant_figures/roussos_2024.adolescence.Astrocyte/rs17244352_count_position.png",4,220,900)</f>
        <v/>
      </c>
      <c r="T493">
        <f>IMAGE("https://mitra.stanford.edu/kundaje/oak/projects/neuro-variants/variant_position/credible/roussos_2024/variant_figures/roussos_2024.adolescence.Astrocyte/rs17244352_profile_position.png",4,220,900)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0.177928496</v>
      </c>
      <c r="G494" t="n">
        <v>0.024822635926755</v>
      </c>
      <c r="H494" t="n">
        <v>0.0148456236512642</v>
      </c>
      <c r="I494" t="n">
        <v>0.336162929974307</v>
      </c>
      <c r="J494" t="n">
        <v>0.0869855799187015</v>
      </c>
      <c r="K494" t="n">
        <v>0.3543746722747786</v>
      </c>
      <c r="L494" t="b">
        <v>0</v>
      </c>
      <c r="M494" t="b">
        <v>0</v>
      </c>
      <c r="N494" t="inlineStr">
        <is>
          <t>alt</t>
        </is>
      </c>
      <c r="O494" t="n">
        <v>80</v>
      </c>
      <c r="P494" t="n">
        <v>0.01628</v>
      </c>
      <c r="Q494" t="n">
        <v>45</v>
      </c>
      <c r="R494" t="n">
        <v>0.04785</v>
      </c>
      <c r="S494">
        <f>IMAGE("https://mitra.stanford.edu/kundaje/oak/projects/neuro-variants/variant_position/credible/roussos_2024/variant_figures/roussos_2024.adolescence.Astrocyte/rs12284362_count_position.png",4,220,900)</f>
        <v/>
      </c>
      <c r="T494">
        <f>IMAGE("https://mitra.stanford.edu/kundaje/oak/projects/neuro-variants/variant_position/credible/roussos_2024/variant_figures/roussos_2024.adolescence.Astrocyte/rs12284362_profile_position.png",4,220,900)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-0.264592428</v>
      </c>
      <c r="G495" t="n">
        <v>0.0094446359676087</v>
      </c>
      <c r="H495" t="n">
        <v>0.0327621417112561</v>
      </c>
      <c r="I495" t="n">
        <v>0.0234991351521619</v>
      </c>
      <c r="J495" t="n">
        <v>0.0284588908999198</v>
      </c>
      <c r="K495" t="n">
        <v>0.5342831994227915</v>
      </c>
      <c r="L495" t="b">
        <v>1</v>
      </c>
      <c r="M495" t="b">
        <v>1</v>
      </c>
      <c r="N495" t="inlineStr">
        <is>
          <t>ref</t>
        </is>
      </c>
      <c r="O495" t="n">
        <v>95</v>
      </c>
      <c r="P495" t="n">
        <v>0.010284</v>
      </c>
      <c r="Q495" t="n">
        <v>25</v>
      </c>
      <c r="R495" t="n">
        <v>0.03027</v>
      </c>
      <c r="S495">
        <f>IMAGE("https://mitra.stanford.edu/kundaje/oak/projects/neuro-variants/variant_position/credible/roussos_2024/variant_figures/roussos_2024.adolescence.Astrocyte/rs11030238_count_position.png",4,220,900)</f>
        <v/>
      </c>
      <c r="T495">
        <f>IMAGE("https://mitra.stanford.edu/kundaje/oak/projects/neuro-variants/variant_position/credible/roussos_2024/variant_figures/roussos_2024.adolescence.Astrocyte/rs11030238_profile_position.png",4,220,900)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-0.0037031604199999</v>
      </c>
      <c r="G496" t="n">
        <v>0.806925210844232</v>
      </c>
      <c r="H496" t="n">
        <v>0.0283193131790668</v>
      </c>
      <c r="I496" t="n">
        <v>0.0391016851546758</v>
      </c>
      <c r="J496" t="n">
        <v>0.0055625611963326</v>
      </c>
      <c r="K496" t="n">
        <v>0.7241671651114715</v>
      </c>
      <c r="L496" t="b">
        <v>0</v>
      </c>
      <c r="M496" t="b">
        <v>0</v>
      </c>
      <c r="N496" t="inlineStr">
        <is>
          <t>ref</t>
        </is>
      </c>
      <c r="O496" t="n">
        <v>85</v>
      </c>
      <c r="P496" t="n">
        <v>0.01548</v>
      </c>
      <c r="Q496" t="n">
        <v>-100</v>
      </c>
      <c r="R496" t="n">
        <v>0.154</v>
      </c>
      <c r="S496">
        <f>IMAGE("https://mitra.stanford.edu/kundaje/oak/projects/neuro-variants/variant_position/credible/roussos_2024/variant_figures/roussos_2024.adolescence.Astrocyte/rs11030247_count_position.png",4,220,900)</f>
        <v/>
      </c>
      <c r="T496">
        <f>IMAGE("https://mitra.stanford.edu/kundaje/oak/projects/neuro-variants/variant_position/credible/roussos_2024/variant_figures/roussos_2024.adolescence.Astrocyte/rs11030247_profile_position.png",4,220,900)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0.0844173206</v>
      </c>
      <c r="G497" t="n">
        <v>0.1072191523920072</v>
      </c>
      <c r="H497" t="n">
        <v>0.0113100878862417</v>
      </c>
      <c r="I497" t="n">
        <v>0.6272925866002073</v>
      </c>
      <c r="J497" t="n">
        <v>6.898495682875607e-05</v>
      </c>
      <c r="K497" t="n">
        <v>0.9894285753569668</v>
      </c>
      <c r="L497" t="b">
        <v>0</v>
      </c>
      <c r="M497" t="b">
        <v>0</v>
      </c>
      <c r="N497" t="inlineStr">
        <is>
          <t>alt</t>
        </is>
      </c>
      <c r="O497" t="n">
        <v>65</v>
      </c>
      <c r="P497" t="n">
        <v>0.00814</v>
      </c>
      <c r="Q497" t="n">
        <v>100</v>
      </c>
      <c r="R497" t="n">
        <v>0.1973</v>
      </c>
      <c r="S497">
        <f>IMAGE("https://mitra.stanford.edu/kundaje/oak/projects/neuro-variants/variant_position/credible/roussos_2024/variant_figures/roussos_2024.adolescence.Astrocyte/rs6484357_count_position.png",4,220,900)</f>
        <v/>
      </c>
      <c r="T497">
        <f>IMAGE("https://mitra.stanford.edu/kundaje/oak/projects/neuro-variants/variant_position/credible/roussos_2024/variant_figures/roussos_2024.adolescence.Astrocyte/rs6484357_profile_position.png",4,220,900)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-0.0435634565999999</v>
      </c>
      <c r="G498" t="n">
        <v>0.303828878349262</v>
      </c>
      <c r="H498" t="n">
        <v>0.0116318305790127</v>
      </c>
      <c r="I498" t="n">
        <v>0.5844504344915572</v>
      </c>
      <c r="J498" t="n">
        <v>0.0330489867370856</v>
      </c>
      <c r="K498" t="n">
        <v>0.5369447846445321</v>
      </c>
      <c r="L498" t="b">
        <v>0</v>
      </c>
      <c r="M498" t="b">
        <v>0</v>
      </c>
      <c r="N498" t="inlineStr">
        <is>
          <t>ref</t>
        </is>
      </c>
      <c r="O498" t="n">
        <v>30</v>
      </c>
      <c r="P498" t="n">
        <v>0.006577</v>
      </c>
      <c r="Q498" t="n">
        <v>30</v>
      </c>
      <c r="R498" t="n">
        <v>0.09766</v>
      </c>
      <c r="S498">
        <f>IMAGE("https://mitra.stanford.edu/kundaje/oak/projects/neuro-variants/variant_position/credible/roussos_2024/variant_figures/roussos_2024.adolescence.Astrocyte/rs11030297_count_position.png",4,220,900)</f>
        <v/>
      </c>
      <c r="T498">
        <f>IMAGE("https://mitra.stanford.edu/kundaje/oak/projects/neuro-variants/variant_position/credible/roussos_2024/variant_figures/roussos_2024.adolescence.Astrocyte/rs11030297_profile_position.png",4,220,900)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-0.0501343369999999</v>
      </c>
      <c r="G499" t="n">
        <v>0.242282754971266</v>
      </c>
      <c r="H499" t="n">
        <v>0.0125105770172086</v>
      </c>
      <c r="I499" t="n">
        <v>0.5092951769803105</v>
      </c>
      <c r="J499" t="n">
        <v>0.015315402189716</v>
      </c>
      <c r="K499" t="n">
        <v>0.6243881645310378</v>
      </c>
      <c r="L499" t="b">
        <v>0</v>
      </c>
      <c r="M499" t="b">
        <v>0</v>
      </c>
      <c r="N499" t="inlineStr">
        <is>
          <t>ref</t>
        </is>
      </c>
      <c r="O499" t="n">
        <v>85</v>
      </c>
      <c r="P499" t="n">
        <v>0.00403</v>
      </c>
      <c r="Q499" t="n">
        <v>65</v>
      </c>
      <c r="R499" t="n">
        <v>0.04294</v>
      </c>
      <c r="S499">
        <f>IMAGE("https://mitra.stanford.edu/kundaje/oak/projects/neuro-variants/variant_position/credible/roussos_2024/variant_figures/roussos_2024.adolescence.Astrocyte/rs7124325_count_position.png",4,220,900)</f>
        <v/>
      </c>
      <c r="T499">
        <f>IMAGE("https://mitra.stanford.edu/kundaje/oak/projects/neuro-variants/variant_position/credible/roussos_2024/variant_figures/roussos_2024.adolescence.Astrocyte/rs7124325_profile_position.png",4,220,900)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0.032999765</v>
      </c>
      <c r="G500" t="n">
        <v>0.366570705713504</v>
      </c>
      <c r="H500" t="n">
        <v>0.0192120037232366</v>
      </c>
      <c r="I500" t="n">
        <v>0.1589175551153129</v>
      </c>
      <c r="J500" t="n">
        <v>0.000182476337418</v>
      </c>
      <c r="K500" t="n">
        <v>0.9717455473265584</v>
      </c>
      <c r="L500" t="b">
        <v>0</v>
      </c>
      <c r="M500" t="b">
        <v>0</v>
      </c>
      <c r="N500" t="inlineStr">
        <is>
          <t>alt</t>
        </is>
      </c>
      <c r="O500" t="n">
        <v>50</v>
      </c>
      <c r="P500" t="n">
        <v>0.007324</v>
      </c>
      <c r="Q500" t="n">
        <v>-55</v>
      </c>
      <c r="R500" t="n">
        <v>0.0564</v>
      </c>
      <c r="S500">
        <f>IMAGE("https://mitra.stanford.edu/kundaje/oak/projects/neuro-variants/variant_position/credible/roussos_2024/variant_figures/roussos_2024.adolescence.Astrocyte/rs11030309_count_position.png",4,220,900)</f>
        <v/>
      </c>
      <c r="T500">
        <f>IMAGE("https://mitra.stanford.edu/kundaje/oak/projects/neuro-variants/variant_position/credible/roussos_2024/variant_figures/roussos_2024.adolescence.Astrocyte/rs11030309_profile_position.png",4,220,900)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0.047933967</v>
      </c>
      <c r="G501" t="n">
        <v>0.2360865057834788</v>
      </c>
      <c r="H501" t="n">
        <v>0.0111750236511392</v>
      </c>
      <c r="I501" t="n">
        <v>0.6222950687049436</v>
      </c>
      <c r="J501" t="n">
        <v>0.0014227220128771</v>
      </c>
      <c r="K501" t="n">
        <v>0.8638257265908539</v>
      </c>
      <c r="L501" t="b">
        <v>0</v>
      </c>
      <c r="M501" t="b">
        <v>0</v>
      </c>
      <c r="N501" t="inlineStr">
        <is>
          <t>alt</t>
        </is>
      </c>
      <c r="O501" t="n">
        <v>-20</v>
      </c>
      <c r="P501" t="n">
        <v>0.003315</v>
      </c>
      <c r="Q501" t="n">
        <v>5</v>
      </c>
      <c r="R501" t="n">
        <v>0.01404</v>
      </c>
      <c r="S501">
        <f>IMAGE("https://mitra.stanford.edu/kundaje/oak/projects/neuro-variants/variant_position/credible/roussos_2024/variant_figures/roussos_2024.adolescence.Astrocyte/rs10835321_count_position.png",4,220,900)</f>
        <v/>
      </c>
      <c r="T501">
        <f>IMAGE("https://mitra.stanford.edu/kundaje/oak/projects/neuro-variants/variant_position/credible/roussos_2024/variant_figures/roussos_2024.adolescence.Astrocyte/rs10835321_profile_position.png",4,220,900)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-0.0146273809199999</v>
      </c>
      <c r="G502" t="n">
        <v>0.5726254925340584</v>
      </c>
      <c r="H502" t="n">
        <v>0.0305486381313817</v>
      </c>
      <c r="I502" t="n">
        <v>0.0288888561299677</v>
      </c>
      <c r="J502" t="n">
        <v>0.0202934456873274</v>
      </c>
      <c r="K502" t="n">
        <v>0.5853283505821353</v>
      </c>
      <c r="L502" t="b">
        <v>0</v>
      </c>
      <c r="M502" t="b">
        <v>0</v>
      </c>
      <c r="N502" t="inlineStr">
        <is>
          <t>ref</t>
        </is>
      </c>
      <c r="O502" t="n">
        <v>-25</v>
      </c>
      <c r="P502" t="n">
        <v>0.001007</v>
      </c>
      <c r="Q502" t="n">
        <v>-15</v>
      </c>
      <c r="R502" t="n">
        <v>0.01892</v>
      </c>
      <c r="S502">
        <f>IMAGE("https://mitra.stanford.edu/kundaje/oak/projects/neuro-variants/variant_position/credible/roussos_2024/variant_figures/roussos_2024.adolescence.Astrocyte/rs4923535_count_position.png",4,220,900)</f>
        <v/>
      </c>
      <c r="T502">
        <f>IMAGE("https://mitra.stanford.edu/kundaje/oak/projects/neuro-variants/variant_position/credible/roussos_2024/variant_figures/roussos_2024.adolescence.Astrocyte/rs4923535_profile_position.png",4,220,900)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0.0001982013919999</v>
      </c>
      <c r="G503" t="n">
        <v>0.9045290890293156</v>
      </c>
      <c r="H503" t="n">
        <v>0.0225666974697343</v>
      </c>
      <c r="I503" t="n">
        <v>0.0911688487052584</v>
      </c>
      <c r="J503" t="n">
        <v>0.0002440435569533</v>
      </c>
      <c r="K503" t="n">
        <v>0.9510978553808238</v>
      </c>
      <c r="L503" t="b">
        <v>0</v>
      </c>
      <c r="M503" t="b">
        <v>0</v>
      </c>
      <c r="N503" t="inlineStr">
        <is>
          <t>alt</t>
        </is>
      </c>
      <c r="O503" t="n">
        <v>100</v>
      </c>
      <c r="P503" t="n">
        <v>0.00557</v>
      </c>
      <c r="Q503" t="n">
        <v>-75</v>
      </c>
      <c r="R503" t="n">
        <v>0.0509</v>
      </c>
      <c r="S503">
        <f>IMAGE("https://mitra.stanford.edu/kundaje/oak/projects/neuro-variants/variant_position/credible/roussos_2024/variant_figures/roussos_2024.adolescence.Astrocyte/rs11030323_count_position.png",4,220,900)</f>
        <v/>
      </c>
      <c r="T503">
        <f>IMAGE("https://mitra.stanford.edu/kundaje/oak/projects/neuro-variants/variant_position/credible/roussos_2024/variant_figures/roussos_2024.adolescence.Astrocyte/rs11030323_profile_position.png",4,220,900)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-0.1210509355999999</v>
      </c>
      <c r="G504" t="n">
        <v>0.0618875287152763</v>
      </c>
      <c r="H504" t="n">
        <v>0.0176912551155767</v>
      </c>
      <c r="I504" t="n">
        <v>0.2002423004311175</v>
      </c>
      <c r="J504" t="n">
        <v>0.008698780523988901</v>
      </c>
      <c r="K504" t="n">
        <v>0.6726288874778705</v>
      </c>
      <c r="L504" t="b">
        <v>0</v>
      </c>
      <c r="M504" t="b">
        <v>0</v>
      </c>
      <c r="N504" t="inlineStr">
        <is>
          <t>ref</t>
        </is>
      </c>
      <c r="O504" t="n">
        <v>65</v>
      </c>
      <c r="P504" t="n">
        <v>0.00636</v>
      </c>
      <c r="Q504" t="n">
        <v>80</v>
      </c>
      <c r="R504" t="n">
        <v>0.2407</v>
      </c>
      <c r="S504">
        <f>IMAGE("https://mitra.stanford.edu/kundaje/oak/projects/neuro-variants/variant_position/credible/roussos_2024/variant_figures/roussos_2024.adolescence.Astrocyte/rs7931626_count_position.png",4,220,900)</f>
        <v/>
      </c>
      <c r="T504">
        <f>IMAGE("https://mitra.stanford.edu/kundaje/oak/projects/neuro-variants/variant_position/credible/roussos_2024/variant_figures/roussos_2024.adolescence.Astrocyte/rs7931626_profile_position.png",4,220,900)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0.0452857282</v>
      </c>
      <c r="G505" t="n">
        <v>0.2744903799512909</v>
      </c>
      <c r="H505" t="n">
        <v>0.020354020684078</v>
      </c>
      <c r="I505" t="n">
        <v>0.1325063555895904</v>
      </c>
      <c r="J505" t="n">
        <v>0.0002648132213749</v>
      </c>
      <c r="K505" t="n">
        <v>0.9689258237186272</v>
      </c>
      <c r="L505" t="b">
        <v>0</v>
      </c>
      <c r="M505" t="b">
        <v>0</v>
      </c>
      <c r="N505" t="inlineStr">
        <is>
          <t>alt</t>
        </is>
      </c>
      <c r="O505" t="n">
        <v>-80</v>
      </c>
      <c r="P505" t="n">
        <v>0.001347</v>
      </c>
      <c r="Q505" t="n">
        <v>-65</v>
      </c>
      <c r="R505" t="n">
        <v>0.0989</v>
      </c>
      <c r="S505">
        <f>IMAGE("https://mitra.stanford.edu/kundaje/oak/projects/neuro-variants/variant_position/credible/roussos_2024/variant_figures/roussos_2024.adolescence.Astrocyte/rs11030324_count_position.png",4,220,900)</f>
        <v/>
      </c>
      <c r="T505">
        <f>IMAGE("https://mitra.stanford.edu/kundaje/oak/projects/neuro-variants/variant_position/credible/roussos_2024/variant_figures/roussos_2024.adolescence.Astrocyte/rs11030324_profile_position.png",4,220,900)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0.1483543424</v>
      </c>
      <c r="G506" t="n">
        <v>0.0487351763550575</v>
      </c>
      <c r="H506" t="n">
        <v>0.0436440905101324</v>
      </c>
      <c r="I506" t="n">
        <v>0.0179010723586687</v>
      </c>
      <c r="J506" t="n">
        <v>0.008169895854968299</v>
      </c>
      <c r="K506" t="n">
        <v>0.7008625758764156</v>
      </c>
      <c r="L506" t="b">
        <v>0</v>
      </c>
      <c r="M506" t="b">
        <v>0</v>
      </c>
      <c r="N506" t="inlineStr">
        <is>
          <t>alt</t>
        </is>
      </c>
      <c r="O506" t="n">
        <v>25</v>
      </c>
      <c r="P506" t="n">
        <v>0.001038</v>
      </c>
      <c r="Q506" t="n">
        <v>-100</v>
      </c>
      <c r="R506" t="n">
        <v>0.0653</v>
      </c>
      <c r="S506">
        <f>IMAGE("https://mitra.stanford.edu/kundaje/oak/projects/neuro-variants/variant_position/credible/roussos_2024/variant_figures/roussos_2024.adolescence.Astrocyte/rs11030331_count_position.png",4,220,900)</f>
        <v/>
      </c>
      <c r="T506">
        <f>IMAGE("https://mitra.stanford.edu/kundaje/oak/projects/neuro-variants/variant_position/credible/roussos_2024/variant_figures/roussos_2024.adolescence.Astrocyte/rs11030331_profile_position.png",4,220,900)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-0.0379001605999999</v>
      </c>
      <c r="G507" t="n">
        <v>0.3411971245130614</v>
      </c>
      <c r="H507" t="n">
        <v>0.009800850501282401</v>
      </c>
      <c r="I507" t="n">
        <v>0.7628541632105785</v>
      </c>
      <c r="J507" t="n">
        <v>8.975462125031048e-05</v>
      </c>
      <c r="K507" t="n">
        <v>0.985941210992374</v>
      </c>
      <c r="L507" t="b">
        <v>0</v>
      </c>
      <c r="M507" t="b">
        <v>0</v>
      </c>
      <c r="N507" t="inlineStr">
        <is>
          <t>ref</t>
        </is>
      </c>
      <c r="O507" t="n">
        <v>-100</v>
      </c>
      <c r="P507" t="n">
        <v>0.0004196</v>
      </c>
      <c r="Q507" t="n">
        <v>10</v>
      </c>
      <c r="R507" t="n">
        <v>0.0354</v>
      </c>
      <c r="S507">
        <f>IMAGE("https://mitra.stanford.edu/kundaje/oak/projects/neuro-variants/variant_position/credible/roussos_2024/variant_figures/roussos_2024.adolescence.Astrocyte/rs4543974_count_position.png",4,220,900)</f>
        <v/>
      </c>
      <c r="T507">
        <f>IMAGE("https://mitra.stanford.edu/kundaje/oak/projects/neuro-variants/variant_position/credible/roussos_2024/variant_figures/roussos_2024.adolescence.Astrocyte/rs4543974_profile_position.png",4,220,900)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-0.0592950988</v>
      </c>
      <c r="G508" t="n">
        <v>0.2147013316281783</v>
      </c>
      <c r="H508" t="n">
        <v>0.0169113866992526</v>
      </c>
      <c r="I508" t="n">
        <v>0.2382918583636467</v>
      </c>
      <c r="J508" t="n">
        <v>0.0048415571314125</v>
      </c>
      <c r="K508" t="n">
        <v>0.7404948503598143</v>
      </c>
      <c r="L508" t="b">
        <v>0</v>
      </c>
      <c r="M508" t="b">
        <v>0</v>
      </c>
      <c r="N508" t="inlineStr">
        <is>
          <t>ref</t>
        </is>
      </c>
      <c r="O508" t="n">
        <v>10</v>
      </c>
      <c r="P508" t="n">
        <v>0.010056</v>
      </c>
      <c r="Q508" t="n">
        <v>95</v>
      </c>
      <c r="R508" t="n">
        <v>0.218</v>
      </c>
      <c r="S508">
        <f>IMAGE("https://mitra.stanford.edu/kundaje/oak/projects/neuro-variants/variant_position/credible/roussos_2024/variant_figures/roussos_2024.adolescence.Astrocyte/rs10767724_count_position.png",4,220,900)</f>
        <v/>
      </c>
      <c r="T508">
        <f>IMAGE("https://mitra.stanford.edu/kundaje/oak/projects/neuro-variants/variant_position/credible/roussos_2024/variant_figures/roussos_2024.adolescence.Astrocyte/rs10767724_profile_position.png",4,220,900)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0.4411298739999999</v>
      </c>
      <c r="G509" t="n">
        <v>0.0018876737200228</v>
      </c>
      <c r="H509" t="n">
        <v>0.0553522978813788</v>
      </c>
      <c r="I509" t="n">
        <v>0.0028560661578723</v>
      </c>
      <c r="J509" t="n">
        <v>0.0705011423315431</v>
      </c>
      <c r="K509" t="n">
        <v>0.3805208070324337</v>
      </c>
      <c r="L509" t="b">
        <v>1</v>
      </c>
      <c r="M509" t="b">
        <v>1</v>
      </c>
      <c r="N509" t="inlineStr">
        <is>
          <t>alt</t>
        </is>
      </c>
      <c r="O509" t="n">
        <v>-35</v>
      </c>
      <c r="P509" t="n">
        <v>0.01509</v>
      </c>
      <c r="Q509" t="n">
        <v>-25</v>
      </c>
      <c r="R509" t="n">
        <v>0.0669</v>
      </c>
      <c r="S509">
        <f>IMAGE("https://mitra.stanford.edu/kundaje/oak/projects/neuro-variants/variant_position/credible/roussos_2024/variant_figures/roussos_2024.adolescence.Astrocyte/rs10835338_count_position.png",4,220,900)</f>
        <v/>
      </c>
      <c r="T509">
        <f>IMAGE("https://mitra.stanford.edu/kundaje/oak/projects/neuro-variants/variant_position/credible/roussos_2024/variant_figures/roussos_2024.adolescence.Astrocyte/rs10835338_profile_position.png",4,220,900)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-0.19244322</v>
      </c>
      <c r="G510" t="n">
        <v>0.02025957030352</v>
      </c>
      <c r="H510" t="n">
        <v>0.0174130504394598</v>
      </c>
      <c r="I510" t="n">
        <v>0.2152339148043143</v>
      </c>
      <c r="J510" t="n">
        <v>0.0098314690086935</v>
      </c>
      <c r="K510" t="n">
        <v>0.6701053159562049</v>
      </c>
      <c r="L510" t="b">
        <v>1</v>
      </c>
      <c r="M510" t="b">
        <v>0</v>
      </c>
      <c r="N510" t="inlineStr">
        <is>
          <t>ref</t>
        </is>
      </c>
      <c r="O510" t="n">
        <v>5</v>
      </c>
      <c r="P510" t="n">
        <v>0.0013275</v>
      </c>
      <c r="Q510" t="n">
        <v>40</v>
      </c>
      <c r="R510" t="n">
        <v>0.05212</v>
      </c>
      <c r="S510">
        <f>IMAGE("https://mitra.stanford.edu/kundaje/oak/projects/neuro-variants/variant_position/credible/roussos_2024/variant_figures/roussos_2024.adolescence.Astrocyte/rs10767725_count_position.png",4,220,900)</f>
        <v/>
      </c>
      <c r="T510">
        <f>IMAGE("https://mitra.stanford.edu/kundaje/oak/projects/neuro-variants/variant_position/credible/roussos_2024/variant_figures/roussos_2024.adolescence.Astrocyte/rs10767725_profile_position.png",4,220,900)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-0.08852045140000001</v>
      </c>
      <c r="G511" t="n">
        <v>0.1273560698826822</v>
      </c>
      <c r="H511" t="n">
        <v>0.0141589238582249</v>
      </c>
      <c r="I511" t="n">
        <v>0.3760525475648514</v>
      </c>
      <c r="J511" t="n">
        <v>0.0320550099397679</v>
      </c>
      <c r="K511" t="n">
        <v>0.5289993477298097</v>
      </c>
      <c r="L511" t="b">
        <v>0</v>
      </c>
      <c r="M511" t="b">
        <v>0</v>
      </c>
      <c r="N511" t="inlineStr">
        <is>
          <t>ref</t>
        </is>
      </c>
      <c r="O511" t="n">
        <v>-100</v>
      </c>
      <c r="P511" t="n">
        <v>0.0746</v>
      </c>
      <c r="Q511" t="n">
        <v>-90</v>
      </c>
      <c r="R511" t="n">
        <v>0.12115</v>
      </c>
      <c r="S511">
        <f>IMAGE("https://mitra.stanford.edu/kundaje/oak/projects/neuro-variants/variant_position/credible/roussos_2024/variant_figures/roussos_2024.adolescence.Astrocyte/rs11030341_count_position.png",4,220,900)</f>
        <v/>
      </c>
      <c r="T511">
        <f>IMAGE("https://mitra.stanford.edu/kundaje/oak/projects/neuro-variants/variant_position/credible/roussos_2024/variant_figures/roussos_2024.adolescence.Astrocyte/rs11030341_profile_position.png",4,220,900)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0.001021874306</v>
      </c>
      <c r="G512" t="n">
        <v>0.9627780931827308</v>
      </c>
      <c r="H512" t="n">
        <v>0.0263112823373022</v>
      </c>
      <c r="I512" t="n">
        <v>0.0519104736658272</v>
      </c>
      <c r="J512" t="n">
        <v>0.0071284455389727</v>
      </c>
      <c r="K512" t="n">
        <v>0.7077895856669502</v>
      </c>
      <c r="L512" t="b">
        <v>0</v>
      </c>
      <c r="M512" t="b">
        <v>0</v>
      </c>
      <c r="N512" t="inlineStr">
        <is>
          <t>alt</t>
        </is>
      </c>
      <c r="O512" t="n">
        <v>55</v>
      </c>
      <c r="P512" t="n">
        <v>0.009140000000000001</v>
      </c>
      <c r="Q512" t="n">
        <v>-50</v>
      </c>
      <c r="R512" t="n">
        <v>0.04614</v>
      </c>
      <c r="S512">
        <f>IMAGE("https://mitra.stanford.edu/kundaje/oak/projects/neuro-variants/variant_position/credible/roussos_2024/variant_figures/roussos_2024.adolescence.Astrocyte/rs7130732_count_position.png",4,220,900)</f>
        <v/>
      </c>
      <c r="T512">
        <f>IMAGE("https://mitra.stanford.edu/kundaje/oak/projects/neuro-variants/variant_position/credible/roussos_2024/variant_figures/roussos_2024.adolescence.Astrocyte/rs7130732_profile_position.png",4,220,900)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0.1102632247999999</v>
      </c>
      <c r="G513" t="n">
        <v>0.0555127273282296</v>
      </c>
      <c r="H513" t="n">
        <v>0.0182889981738409</v>
      </c>
      <c r="I513" t="n">
        <v>0.187281787369646</v>
      </c>
      <c r="J513" t="n">
        <v>0.0031109990208586</v>
      </c>
      <c r="K513" t="n">
        <v>0.7949359025635976</v>
      </c>
      <c r="L513" t="b">
        <v>0</v>
      </c>
      <c r="M513" t="b">
        <v>0</v>
      </c>
      <c r="N513" t="inlineStr">
        <is>
          <t>alt</t>
        </is>
      </c>
      <c r="O513" t="n">
        <v>-80</v>
      </c>
      <c r="P513" t="n">
        <v>0.00523</v>
      </c>
      <c r="Q513" t="n">
        <v>-80</v>
      </c>
      <c r="R513" t="n">
        <v>0.09075999999999999</v>
      </c>
      <c r="S513">
        <f>IMAGE("https://mitra.stanford.edu/kundaje/oak/projects/neuro-variants/variant_position/credible/roussos_2024/variant_figures/roussos_2024.adolescence.Astrocyte/rs7105555_count_position.png",4,220,900)</f>
        <v/>
      </c>
      <c r="T513">
        <f>IMAGE("https://mitra.stanford.edu/kundaje/oak/projects/neuro-variants/variant_position/credible/roussos_2024/variant_figures/roussos_2024.adolescence.Astrocyte/rs7105555_profile_position.png",4,220,900)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0.04448077592</v>
      </c>
      <c r="G514" t="n">
        <v>0.2694654372210355</v>
      </c>
      <c r="H514" t="n">
        <v>0.0126372605257243</v>
      </c>
      <c r="I514" t="n">
        <v>0.4862237571354569</v>
      </c>
      <c r="J514" t="n">
        <v>0.0144608788535145</v>
      </c>
      <c r="K514" t="n">
        <v>0.6169869094318591</v>
      </c>
      <c r="L514" t="b">
        <v>0</v>
      </c>
      <c r="M514" t="b">
        <v>0</v>
      </c>
      <c r="N514" t="inlineStr">
        <is>
          <t>alt</t>
        </is>
      </c>
      <c r="O514" t="n">
        <v>-95</v>
      </c>
      <c r="P514" t="n">
        <v>0.01092</v>
      </c>
      <c r="Q514" t="n">
        <v>25</v>
      </c>
      <c r="R514" t="n">
        <v>0.0105</v>
      </c>
      <c r="S514">
        <f>IMAGE("https://mitra.stanford.edu/kundaje/oak/projects/neuro-variants/variant_position/credible/roussos_2024/variant_figures/roussos_2024.adolescence.Astrocyte/rs11603115_count_position.png",4,220,900)</f>
        <v/>
      </c>
      <c r="T514">
        <f>IMAGE("https://mitra.stanford.edu/kundaje/oak/projects/neuro-variants/variant_position/credible/roussos_2024/variant_figures/roussos_2024.adolescence.Astrocyte/rs11603115_profile_position.png",4,220,900)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-0.2032093059999999</v>
      </c>
      <c r="G515" t="n">
        <v>0.0179275971290724</v>
      </c>
      <c r="H515" t="n">
        <v>0.0273221287865961</v>
      </c>
      <c r="I515" t="n">
        <v>0.0449430473516299</v>
      </c>
      <c r="J515" t="n">
        <v>0.0301760970833456</v>
      </c>
      <c r="K515" t="n">
        <v>0.5328015867085051</v>
      </c>
      <c r="L515" t="b">
        <v>1</v>
      </c>
      <c r="M515" t="b">
        <v>0</v>
      </c>
      <c r="N515" t="inlineStr">
        <is>
          <t>ref</t>
        </is>
      </c>
      <c r="O515" t="n">
        <v>-75</v>
      </c>
      <c r="P515" t="n">
        <v>0.008410000000000001</v>
      </c>
      <c r="Q515" t="n">
        <v>30</v>
      </c>
      <c r="R515" t="n">
        <v>0.09375</v>
      </c>
      <c r="S515">
        <f>IMAGE("https://mitra.stanford.edu/kundaje/oak/projects/neuro-variants/variant_position/credible/roussos_2024/variant_figures/roussos_2024.adolescence.Astrocyte/rs1811450_count_position.png",4,220,900)</f>
        <v/>
      </c>
      <c r="T515">
        <f>IMAGE("https://mitra.stanford.edu/kundaje/oak/projects/neuro-variants/variant_position/credible/roussos_2024/variant_figures/roussos_2024.adolescence.Astrocyte/rs1811450_profile_position.png",4,220,900)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-0.0431686429999999</v>
      </c>
      <c r="G516" t="n">
        <v>0.3251122050057435</v>
      </c>
      <c r="H516" t="n">
        <v>0.009129931190677501</v>
      </c>
      <c r="I516" t="n">
        <v>0.8212230456666827</v>
      </c>
      <c r="J516" t="n">
        <v>0.010955256208646</v>
      </c>
      <c r="K516" t="n">
        <v>0.656661771161423</v>
      </c>
      <c r="L516" t="b">
        <v>0</v>
      </c>
      <c r="M516" t="b">
        <v>0</v>
      </c>
      <c r="N516" t="inlineStr">
        <is>
          <t>ref</t>
        </is>
      </c>
      <c r="O516" t="n">
        <v>-85</v>
      </c>
      <c r="P516" t="n">
        <v>0.03198</v>
      </c>
      <c r="Q516" t="n">
        <v>-100</v>
      </c>
      <c r="R516" t="n">
        <v>0.0716</v>
      </c>
      <c r="S516">
        <f>IMAGE("https://mitra.stanford.edu/kundaje/oak/projects/neuro-variants/variant_position/credible/roussos_2024/variant_figures/roussos_2024.adolescence.Astrocyte/rs2582905_count_position.png",4,220,900)</f>
        <v/>
      </c>
      <c r="T516">
        <f>IMAGE("https://mitra.stanford.edu/kundaje/oak/projects/neuro-variants/variant_position/credible/roussos_2024/variant_figures/roussos_2024.adolescence.Astrocyte/rs2582905_profile_position.png",4,220,900)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-0.03098566116</v>
      </c>
      <c r="G517" t="n">
        <v>0.3915327718070999</v>
      </c>
      <c r="H517" t="n">
        <v>0.0346504981213517</v>
      </c>
      <c r="I517" t="n">
        <v>0.0172991927351236</v>
      </c>
      <c r="J517" t="n">
        <v>0.0099115805714624</v>
      </c>
      <c r="K517" t="n">
        <v>0.6742042435834663</v>
      </c>
      <c r="L517" t="b">
        <v>0</v>
      </c>
      <c r="M517" t="b">
        <v>0</v>
      </c>
      <c r="N517" t="inlineStr">
        <is>
          <t>ref</t>
        </is>
      </c>
      <c r="O517" t="n">
        <v>50</v>
      </c>
      <c r="P517" t="n">
        <v>0.01369</v>
      </c>
      <c r="Q517" t="n">
        <v>-20</v>
      </c>
      <c r="R517" t="n">
        <v>0.008670000000000001</v>
      </c>
      <c r="S517">
        <f>IMAGE("https://mitra.stanford.edu/kundaje/oak/projects/neuro-variants/variant_position/credible/roussos_2024/variant_figures/roussos_2024.adolescence.Astrocyte/rs2582895_count_position.png",4,220,900)</f>
        <v/>
      </c>
      <c r="T517">
        <f>IMAGE("https://mitra.stanford.edu/kundaje/oak/projects/neuro-variants/variant_position/credible/roussos_2024/variant_figures/roussos_2024.adolescence.Astrocyte/rs2582895_profile_position.png",4,220,900)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0.352521788</v>
      </c>
      <c r="G518" t="n">
        <v>0.0040856930815263</v>
      </c>
      <c r="H518" t="n">
        <v>0.0578118158848248</v>
      </c>
      <c r="I518" t="n">
        <v>0.0025974885739877</v>
      </c>
      <c r="J518" t="n">
        <v>0.0292629736225261</v>
      </c>
      <c r="K518" t="n">
        <v>0.5488805331059919</v>
      </c>
      <c r="L518" t="b">
        <v>1</v>
      </c>
      <c r="M518" t="b">
        <v>1</v>
      </c>
      <c r="N518" t="inlineStr">
        <is>
          <t>alt</t>
        </is>
      </c>
      <c r="O518" t="n">
        <v>5</v>
      </c>
      <c r="P518" t="n">
        <v>0.000473</v>
      </c>
      <c r="Q518" t="n">
        <v>-70</v>
      </c>
      <c r="R518" t="n">
        <v>0.01483</v>
      </c>
      <c r="S518">
        <f>IMAGE("https://mitra.stanford.edu/kundaje/oak/projects/neuro-variants/variant_position/credible/roussos_2024/variant_figures/roussos_2024.adolescence.Astrocyte/rs2585817_count_position.png",4,220,900)</f>
        <v/>
      </c>
      <c r="T518">
        <f>IMAGE("https://mitra.stanford.edu/kundaje/oak/projects/neuro-variants/variant_position/credible/roussos_2024/variant_figures/roussos_2024.adolescence.Astrocyte/rs2585817_profile_position.png",4,220,900)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0.010452201</v>
      </c>
      <c r="G519" t="n">
        <v>0.7186750660143526</v>
      </c>
      <c r="H519" t="n">
        <v>0.011248824838753</v>
      </c>
      <c r="I519" t="n">
        <v>0.6349043371703443</v>
      </c>
      <c r="J519" t="n">
        <v>0.0233206242767705</v>
      </c>
      <c r="K519" t="n">
        <v>0.560401324885631</v>
      </c>
      <c r="L519" t="b">
        <v>0</v>
      </c>
      <c r="M519" t="b">
        <v>0</v>
      </c>
      <c r="N519" t="inlineStr">
        <is>
          <t>alt</t>
        </is>
      </c>
      <c r="O519" t="n">
        <v>50</v>
      </c>
      <c r="P519" t="n">
        <v>0.001099</v>
      </c>
      <c r="Q519" t="n">
        <v>-5</v>
      </c>
      <c r="R519" t="n">
        <v>0.00532</v>
      </c>
      <c r="S519">
        <f>IMAGE("https://mitra.stanford.edu/kundaje/oak/projects/neuro-variants/variant_position/credible/roussos_2024/variant_figures/roussos_2024.adolescence.Astrocyte/rs2582896_count_position.png",4,220,900)</f>
        <v/>
      </c>
      <c r="T519">
        <f>IMAGE("https://mitra.stanford.edu/kundaje/oak/projects/neuro-variants/variant_position/credible/roussos_2024/variant_figures/roussos_2024.adolescence.Astrocyte/rs2582896_profile_position.png",4,220,900)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0.1478507834</v>
      </c>
      <c r="G520" t="n">
        <v>0.0497238842688256</v>
      </c>
      <c r="H520" t="n">
        <v>0.0264725413729094</v>
      </c>
      <c r="I520" t="n">
        <v>0.05933942450618</v>
      </c>
      <c r="J520" t="n">
        <v>0.0015592083790759</v>
      </c>
      <c r="K520" t="n">
        <v>0.8506699591996717</v>
      </c>
      <c r="L520" t="b">
        <v>0</v>
      </c>
      <c r="M520" t="b">
        <v>0</v>
      </c>
      <c r="N520" t="inlineStr">
        <is>
          <t>alt</t>
        </is>
      </c>
      <c r="O520" t="n">
        <v>95</v>
      </c>
      <c r="P520" t="n">
        <v>0.002472</v>
      </c>
      <c r="Q520" t="n">
        <v>-70</v>
      </c>
      <c r="R520" t="n">
        <v>0.04785</v>
      </c>
      <c r="S520">
        <f>IMAGE("https://mitra.stanford.edu/kundaje/oak/projects/neuro-variants/variant_position/credible/roussos_2024/variant_figures/roussos_2024.adolescence.Astrocyte/rs10742196_count_position.png",4,220,900)</f>
        <v/>
      </c>
      <c r="T520">
        <f>IMAGE("https://mitra.stanford.edu/kundaje/oak/projects/neuro-variants/variant_position/credible/roussos_2024/variant_figures/roussos_2024.adolescence.Astrocyte/rs10742196_profile_position.png",4,220,900)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-0.1230035888</v>
      </c>
      <c r="G521" t="n">
        <v>0.0617849441245563</v>
      </c>
      <c r="H521" t="n">
        <v>0.019212442540437</v>
      </c>
      <c r="I521" t="n">
        <v>0.1570527729285417</v>
      </c>
      <c r="J521" t="n">
        <v>0.0185309913064118</v>
      </c>
      <c r="K521" t="n">
        <v>0.5791246860453464</v>
      </c>
      <c r="L521" t="b">
        <v>0</v>
      </c>
      <c r="M521" t="b">
        <v>0</v>
      </c>
      <c r="N521" t="inlineStr">
        <is>
          <t>ref</t>
        </is>
      </c>
      <c r="O521" t="n">
        <v>-60</v>
      </c>
      <c r="P521" t="n">
        <v>0.00958</v>
      </c>
      <c r="Q521" t="n">
        <v>-60</v>
      </c>
      <c r="R521" t="n">
        <v>0.1658</v>
      </c>
      <c r="S521">
        <f>IMAGE("https://mitra.stanford.edu/kundaje/oak/projects/neuro-variants/variant_position/credible/roussos_2024/variant_figures/roussos_2024.adolescence.Astrocyte/rs11030386_count_position.png",4,220,900)</f>
        <v/>
      </c>
      <c r="T521">
        <f>IMAGE("https://mitra.stanford.edu/kundaje/oak/projects/neuro-variants/variant_position/credible/roussos_2024/variant_figures/roussos_2024.adolescence.Astrocyte/rs11030386_profile_position.png",4,220,900)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-0.0787917846</v>
      </c>
      <c r="G522" t="n">
        <v>0.1497537332044356</v>
      </c>
      <c r="H522" t="n">
        <v>0.0187909735558109</v>
      </c>
      <c r="I522" t="n">
        <v>0.1681792689571893</v>
      </c>
      <c r="J522" t="n">
        <v>0.0083872355576654</v>
      </c>
      <c r="K522" t="n">
        <v>0.6802522076870576</v>
      </c>
      <c r="L522" t="b">
        <v>0</v>
      </c>
      <c r="M522" t="b">
        <v>0</v>
      </c>
      <c r="N522" t="inlineStr">
        <is>
          <t>ref</t>
        </is>
      </c>
      <c r="O522" t="n">
        <v>-70</v>
      </c>
      <c r="P522" t="n">
        <v>0.00153</v>
      </c>
      <c r="Q522" t="n">
        <v>-60</v>
      </c>
      <c r="R522" t="n">
        <v>0.1259</v>
      </c>
      <c r="S522">
        <f>IMAGE("https://mitra.stanford.edu/kundaje/oak/projects/neuro-variants/variant_position/credible/roussos_2024/variant_figures/roussos_2024.adolescence.Astrocyte/rs12226518_count_position.png",4,220,900)</f>
        <v/>
      </c>
      <c r="T522">
        <f>IMAGE("https://mitra.stanford.edu/kundaje/oak/projects/neuro-variants/variant_position/credible/roussos_2024/variant_figures/roussos_2024.adolescence.Astrocyte/rs12226518_profile_position.png",4,220,900)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-0.0246798494</v>
      </c>
      <c r="G523" t="n">
        <v>0.4855819330803655</v>
      </c>
      <c r="H523" t="n">
        <v>0.0110626318699892</v>
      </c>
      <c r="I523" t="n">
        <v>0.6461851620597669</v>
      </c>
      <c r="J523" t="n">
        <v>0.0033936148117377</v>
      </c>
      <c r="K523" t="n">
        <v>0.774924197156146</v>
      </c>
      <c r="L523" t="b">
        <v>0</v>
      </c>
      <c r="M523" t="b">
        <v>0</v>
      </c>
      <c r="N523" t="inlineStr">
        <is>
          <t>ref</t>
        </is>
      </c>
      <c r="O523" t="n">
        <v>50</v>
      </c>
      <c r="P523" t="n">
        <v>0.002674</v>
      </c>
      <c r="Q523" t="n">
        <v>-70</v>
      </c>
      <c r="R523" t="n">
        <v>0.02954</v>
      </c>
      <c r="S523">
        <f>IMAGE("https://mitra.stanford.edu/kundaje/oak/projects/neuro-variants/variant_position/credible/roussos_2024/variant_figures/roussos_2024.adolescence.Astrocyte/rs10767732_count_position.png",4,220,900)</f>
        <v/>
      </c>
      <c r="T523">
        <f>IMAGE("https://mitra.stanford.edu/kundaje/oak/projects/neuro-variants/variant_position/credible/roussos_2024/variant_figures/roussos_2024.adolescence.Astrocyte/rs10767732_profile_position.png",4,220,900)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0.1025872179399999</v>
      </c>
      <c r="G524" t="n">
        <v>0.0933339201396413</v>
      </c>
      <c r="H524" t="n">
        <v>0.0154391522866598</v>
      </c>
      <c r="I524" t="n">
        <v>0.2994813148547718</v>
      </c>
      <c r="J524" t="n">
        <v>0.5293186066522269</v>
      </c>
      <c r="K524" t="n">
        <v>0.0482789552380256</v>
      </c>
      <c r="L524" t="b">
        <v>0</v>
      </c>
      <c r="M524" t="b">
        <v>0</v>
      </c>
      <c r="N524" t="inlineStr">
        <is>
          <t>alt</t>
        </is>
      </c>
      <c r="O524" t="n">
        <v>95</v>
      </c>
      <c r="P524" t="n">
        <v>0.04575</v>
      </c>
      <c r="Q524" t="n">
        <v>100</v>
      </c>
      <c r="R524" t="n">
        <v>0.4248</v>
      </c>
      <c r="S524">
        <f>IMAGE("https://mitra.stanford.edu/kundaje/oak/projects/neuro-variants/variant_position/credible/roussos_2024/variant_figures/roussos_2024.adolescence.Astrocyte/rs10835368_count_position.png",4,220,900)</f>
        <v/>
      </c>
      <c r="T524">
        <f>IMAGE("https://mitra.stanford.edu/kundaje/oak/projects/neuro-variants/variant_position/credible/roussos_2024/variant_figures/roussos_2024.adolescence.Astrocyte/rs10835368_profile_position.png",4,220,900)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0.162472472</v>
      </c>
      <c r="G525" t="n">
        <v>0.0323852320809082</v>
      </c>
      <c r="H525" t="n">
        <v>0.0303019524979536</v>
      </c>
      <c r="I525" t="n">
        <v>0.0322460859526082</v>
      </c>
      <c r="J525" t="n">
        <v>0.2456376286977419</v>
      </c>
      <c r="K525" t="n">
        <v>0.1677496313808</v>
      </c>
      <c r="L525" t="b">
        <v>0</v>
      </c>
      <c r="M525" t="b">
        <v>0</v>
      </c>
      <c r="N525" t="inlineStr">
        <is>
          <t>alt</t>
        </is>
      </c>
      <c r="O525" t="n">
        <v>-60</v>
      </c>
      <c r="P525" t="n">
        <v>0.00906</v>
      </c>
      <c r="Q525" t="n">
        <v>-85</v>
      </c>
      <c r="R525" t="n">
        <v>0.03024</v>
      </c>
      <c r="S525">
        <f>IMAGE("https://mitra.stanford.edu/kundaje/oak/projects/neuro-variants/variant_position/credible/roussos_2024/variant_figures/roussos_2024.adolescence.Astrocyte/rs10835373_count_position.png",4,220,900)</f>
        <v/>
      </c>
      <c r="T525">
        <f>IMAGE("https://mitra.stanford.edu/kundaje/oak/projects/neuro-variants/variant_position/credible/roussos_2024/variant_figures/roussos_2024.adolescence.Astrocyte/rs10835373_profile_position.png",4,220,900)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0.003403538406</v>
      </c>
      <c r="G526" t="n">
        <v>0.6165901705360671</v>
      </c>
      <c r="H526" t="n">
        <v>0.0214667183204348</v>
      </c>
      <c r="I526" t="n">
        <v>0.1092137090809204</v>
      </c>
      <c r="J526" t="n">
        <v>0.0764256891077945</v>
      </c>
      <c r="K526" t="n">
        <v>0.3705472515479313</v>
      </c>
      <c r="L526" t="b">
        <v>0</v>
      </c>
      <c r="M526" t="b">
        <v>0</v>
      </c>
      <c r="N526" t="inlineStr">
        <is>
          <t>alt</t>
        </is>
      </c>
      <c r="O526" t="n">
        <v>75</v>
      </c>
      <c r="P526" t="n">
        <v>0.01348</v>
      </c>
      <c r="Q526" t="n">
        <v>90</v>
      </c>
      <c r="R526" t="n">
        <v>0.04456</v>
      </c>
      <c r="S526">
        <f>IMAGE("https://mitra.stanford.edu/kundaje/oak/projects/neuro-variants/variant_position/credible/roussos_2024/variant_figures/roussos_2024.adolescence.Astrocyte/rs11030388_count_position.png",4,220,900)</f>
        <v/>
      </c>
      <c r="T526">
        <f>IMAGE("https://mitra.stanford.edu/kundaje/oak/projects/neuro-variants/variant_position/credible/roussos_2024/variant_figures/roussos_2024.adolescence.Astrocyte/rs11030388_profile_position.png",4,220,900)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-0.0022076103</v>
      </c>
      <c r="G527" t="n">
        <v>0.7633928946217292</v>
      </c>
      <c r="H527" t="n">
        <v>0.0162439993248895</v>
      </c>
      <c r="I527" t="n">
        <v>0.2573596044763366</v>
      </c>
      <c r="J527" t="n">
        <v>0.0102898851734266</v>
      </c>
      <c r="K527" t="n">
        <v>0.6788958204825161</v>
      </c>
      <c r="L527" t="b">
        <v>0</v>
      </c>
      <c r="M527" t="b">
        <v>0</v>
      </c>
      <c r="N527" t="inlineStr">
        <is>
          <t>ref</t>
        </is>
      </c>
      <c r="O527" t="n">
        <v>40</v>
      </c>
      <c r="P527" t="n">
        <v>0.00842</v>
      </c>
      <c r="Q527" t="n">
        <v>70</v>
      </c>
      <c r="R527" t="n">
        <v>0.02042</v>
      </c>
      <c r="S527">
        <f>IMAGE("https://mitra.stanford.edu/kundaje/oak/projects/neuro-variants/variant_position/credible/roussos_2024/variant_figures/roussos_2024.adolescence.Astrocyte/rs4576808_count_position.png",4,220,900)</f>
        <v/>
      </c>
      <c r="T527">
        <f>IMAGE("https://mitra.stanford.edu/kundaje/oak/projects/neuro-variants/variant_position/credible/roussos_2024/variant_figures/roussos_2024.adolescence.Astrocyte/rs4576808_profile_position.png",4,220,900)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0.0265636647999999</v>
      </c>
      <c r="G528" t="n">
        <v>0.4455816423259392</v>
      </c>
      <c r="H528" t="n">
        <v>0.0370833616356349</v>
      </c>
      <c r="I528" t="n">
        <v>0.0132076803284116</v>
      </c>
      <c r="J528" t="n">
        <v>0.0232182595021213</v>
      </c>
      <c r="K528" t="n">
        <v>0.5590691248319816</v>
      </c>
      <c r="L528" t="b">
        <v>1</v>
      </c>
      <c r="M528" t="b">
        <v>0</v>
      </c>
      <c r="N528" t="inlineStr">
        <is>
          <t>alt</t>
        </is>
      </c>
      <c r="O528" t="n">
        <v>-100</v>
      </c>
      <c r="P528" t="n">
        <v>0.05347</v>
      </c>
      <c r="Q528" t="n">
        <v>-100</v>
      </c>
      <c r="R528" t="n">
        <v>0.2683</v>
      </c>
      <c r="S528">
        <f>IMAGE("https://mitra.stanford.edu/kundaje/oak/projects/neuro-variants/variant_position/credible/roussos_2024/variant_figures/roussos_2024.adolescence.Astrocyte/rs4290216_count_position.png",4,220,900)</f>
        <v/>
      </c>
      <c r="T528">
        <f>IMAGE("https://mitra.stanford.edu/kundaje/oak/projects/neuro-variants/variant_position/credible/roussos_2024/variant_figures/roussos_2024.adolescence.Astrocyte/rs4290216_profile_position.png",4,220,900)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-0.0301982308</v>
      </c>
      <c r="G529" t="n">
        <v>0.4063769718272046</v>
      </c>
      <c r="H529" t="n">
        <v>0.0115680385407214</v>
      </c>
      <c r="I529" t="n">
        <v>0.5827049878230534</v>
      </c>
      <c r="J529" t="n">
        <v>0.0113261430733168</v>
      </c>
      <c r="K529" t="n">
        <v>0.672124890766116</v>
      </c>
      <c r="L529" t="b">
        <v>0</v>
      </c>
      <c r="M529" t="b">
        <v>0</v>
      </c>
      <c r="N529" t="inlineStr">
        <is>
          <t>ref</t>
        </is>
      </c>
      <c r="O529" t="n">
        <v>-100</v>
      </c>
      <c r="P529" t="n">
        <v>0.005535</v>
      </c>
      <c r="Q529" t="n">
        <v>-100</v>
      </c>
      <c r="R529" t="n">
        <v>0.1484</v>
      </c>
      <c r="S529">
        <f>IMAGE("https://mitra.stanford.edu/kundaje/oak/projects/neuro-variants/variant_position/credible/roussos_2024/variant_figures/roussos_2024.adolescence.Astrocyte/rs7935241_count_position.png",4,220,900)</f>
        <v/>
      </c>
      <c r="T529">
        <f>IMAGE("https://mitra.stanford.edu/kundaje/oak/projects/neuro-variants/variant_position/credible/roussos_2024/variant_figures/roussos_2024.adolescence.Astrocyte/rs7935241_profile_position.png",4,220,900)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-0.0461167341999999</v>
      </c>
      <c r="G530" t="n">
        <v>0.2734981264189004</v>
      </c>
      <c r="H530" t="n">
        <v>0.04356804797601</v>
      </c>
      <c r="I530" t="n">
        <v>0.0067379454087305</v>
      </c>
      <c r="J530" t="n">
        <v>0.0026629676883363</v>
      </c>
      <c r="K530" t="n">
        <v>0.7991256661800054</v>
      </c>
      <c r="L530" t="b">
        <v>0</v>
      </c>
      <c r="M530" t="b">
        <v>0</v>
      </c>
      <c r="N530" t="inlineStr">
        <is>
          <t>ref</t>
        </is>
      </c>
      <c r="O530" t="n">
        <v>75</v>
      </c>
      <c r="P530" t="n">
        <v>0.00876</v>
      </c>
      <c r="Q530" t="n">
        <v>-55</v>
      </c>
      <c r="R530" t="n">
        <v>0.0564</v>
      </c>
      <c r="S530">
        <f>IMAGE("https://mitra.stanford.edu/kundaje/oak/projects/neuro-variants/variant_position/credible/roussos_2024/variant_figures/roussos_2024.adolescence.Astrocyte/rs7928893_count_position.png",4,220,900)</f>
        <v/>
      </c>
      <c r="T530">
        <f>IMAGE("https://mitra.stanford.edu/kundaje/oak/projects/neuro-variants/variant_position/credible/roussos_2024/variant_figures/roussos_2024.adolescence.Astrocyte/rs7928893_profile_position.png",4,220,900)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-0.240046536</v>
      </c>
      <c r="G531" t="n">
        <v>0.0132150980300825</v>
      </c>
      <c r="H531" t="n">
        <v>0.0158508441980414</v>
      </c>
      <c r="I531" t="n">
        <v>0.2912296220615571</v>
      </c>
      <c r="J531" t="n">
        <v>0.0237085719372161</v>
      </c>
      <c r="K531" t="n">
        <v>0.564272189820775</v>
      </c>
      <c r="L531" t="b">
        <v>1</v>
      </c>
      <c r="M531" t="b">
        <v>0</v>
      </c>
      <c r="N531" t="inlineStr">
        <is>
          <t>ref</t>
        </is>
      </c>
      <c r="O531" t="n">
        <v>10</v>
      </c>
      <c r="P531" t="n">
        <v>0.002056</v>
      </c>
      <c r="Q531" t="n">
        <v>-25</v>
      </c>
      <c r="R531" t="n">
        <v>0.05933</v>
      </c>
      <c r="S531">
        <f>IMAGE("https://mitra.stanford.edu/kundaje/oak/projects/neuro-variants/variant_position/credible/roussos_2024/variant_figures/roussos_2024.adolescence.Astrocyte/rs7122369_count_position.png",4,220,900)</f>
        <v/>
      </c>
      <c r="T531">
        <f>IMAGE("https://mitra.stanford.edu/kundaje/oak/projects/neuro-variants/variant_position/credible/roussos_2024/variant_figures/roussos_2024.adolescence.Astrocyte/rs7122369_profile_position.png",4,220,900)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0.105298751</v>
      </c>
      <c r="G532" t="n">
        <v>0.07412278835474199</v>
      </c>
      <c r="H532" t="n">
        <v>0.0163783384867432</v>
      </c>
      <c r="I532" t="n">
        <v>0.2523217997268158</v>
      </c>
      <c r="J532" t="n">
        <v>0.0307754502566536</v>
      </c>
      <c r="K532" t="n">
        <v>0.5216024737290403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0.01949</v>
      </c>
      <c r="Q532" t="n">
        <v>-45</v>
      </c>
      <c r="R532" t="n">
        <v>0.1138</v>
      </c>
      <c r="S532">
        <f>IMAGE("https://mitra.stanford.edu/kundaje/oak/projects/neuro-variants/variant_position/credible/roussos_2024/variant_figures/roussos_2024.adolescence.Astrocyte/rs11034985_count_position.png",4,220,900)</f>
        <v/>
      </c>
      <c r="T532">
        <f>IMAGE("https://mitra.stanford.edu/kundaje/oak/projects/neuro-variants/variant_position/credible/roussos_2024/variant_figures/roussos_2024.adolescence.Astrocyte/rs11034985_profile_position.png",4,220,900)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-0.0142065443999999</v>
      </c>
      <c r="G533" t="n">
        <v>0.6586019605596232</v>
      </c>
      <c r="H533" t="n">
        <v>0.0452388698120557</v>
      </c>
      <c r="I533" t="n">
        <v>0.0058673422177145</v>
      </c>
      <c r="J533" t="n">
        <v>0.1622852565053555</v>
      </c>
      <c r="K533" t="n">
        <v>0.239820850492467</v>
      </c>
      <c r="L533" t="b">
        <v>1</v>
      </c>
      <c r="M533" t="b">
        <v>1</v>
      </c>
      <c r="N533" t="inlineStr">
        <is>
          <t>ref</t>
        </is>
      </c>
      <c r="O533" t="n">
        <v>60</v>
      </c>
      <c r="P533" t="n">
        <v>0.01146</v>
      </c>
      <c r="Q533" t="n">
        <v>100</v>
      </c>
      <c r="R533" t="n">
        <v>0.02832</v>
      </c>
      <c r="S533">
        <f>IMAGE("https://mitra.stanford.edu/kundaje/oak/projects/neuro-variants/variant_position/credible/roussos_2024/variant_figures/roussos_2024.adolescence.Astrocyte/rs10837065_count_position.png",4,220,900)</f>
        <v/>
      </c>
      <c r="T533">
        <f>IMAGE("https://mitra.stanford.edu/kundaje/oak/projects/neuro-variants/variant_position/credible/roussos_2024/variant_figures/roussos_2024.adolescence.Astrocyte/rs10837065_profile_position.png",4,220,900)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-0.03216560792</v>
      </c>
      <c r="G534" t="n">
        <v>0.3752990125957406</v>
      </c>
      <c r="H534" t="n">
        <v>0.0156752883734367</v>
      </c>
      <c r="I534" t="n">
        <v>0.2942420479165895</v>
      </c>
      <c r="J534" t="n">
        <v>0.0836483399103936</v>
      </c>
      <c r="K534" t="n">
        <v>0.3540164708568261</v>
      </c>
      <c r="L534" t="b">
        <v>0</v>
      </c>
      <c r="M534" t="b">
        <v>0</v>
      </c>
      <c r="N534" t="inlineStr">
        <is>
          <t>ref</t>
        </is>
      </c>
      <c r="O534" t="n">
        <v>-95</v>
      </c>
      <c r="P534" t="n">
        <v>0.06519999999999999</v>
      </c>
      <c r="Q534" t="n">
        <v>-95</v>
      </c>
      <c r="R534" t="n">
        <v>0.03198</v>
      </c>
      <c r="S534">
        <f>IMAGE("https://mitra.stanford.edu/kundaje/oak/projects/neuro-variants/variant_position/credible/roussos_2024/variant_figures/roussos_2024.adolescence.Astrocyte/rs10837066_count_position.png",4,220,900)</f>
        <v/>
      </c>
      <c r="T534">
        <f>IMAGE("https://mitra.stanford.edu/kundaje/oak/projects/neuro-variants/variant_position/credible/roussos_2024/variant_figures/roussos_2024.adolescence.Astrocyte/rs10837066_profile_position.png",4,220,900)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-0.270839718</v>
      </c>
      <c r="G535" t="n">
        <v>0.0083802908950854</v>
      </c>
      <c r="H535" t="n">
        <v>0.0245054758701128</v>
      </c>
      <c r="I535" t="n">
        <v>0.0688614084070911</v>
      </c>
      <c r="J535" t="n">
        <v>0.1174665460048066</v>
      </c>
      <c r="K535" t="n">
        <v>0.3390060022421967</v>
      </c>
      <c r="L535" t="b">
        <v>1</v>
      </c>
      <c r="M535" t="b">
        <v>1</v>
      </c>
      <c r="N535" t="inlineStr">
        <is>
          <t>ref</t>
        </is>
      </c>
      <c r="O535" t="n">
        <v>90</v>
      </c>
      <c r="P535" t="n">
        <v>0.0295</v>
      </c>
      <c r="Q535" t="n">
        <v>65</v>
      </c>
      <c r="R535" t="n">
        <v>0.3823</v>
      </c>
      <c r="S535">
        <f>IMAGE("https://mitra.stanford.edu/kundaje/oak/projects/neuro-variants/variant_position/credible/roussos_2024/variant_figures/roussos_2024.adolescence.Astrocyte/rs12365929_count_position.png",4,220,900)</f>
        <v/>
      </c>
      <c r="T535">
        <f>IMAGE("https://mitra.stanford.edu/kundaje/oak/projects/neuro-variants/variant_position/credible/roussos_2024/variant_figures/roussos_2024.adolescence.Astrocyte/rs12365929_profile_position.png",4,220,900)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0.0008070400599999999</v>
      </c>
      <c r="G536" t="n">
        <v>0.8939450977377935</v>
      </c>
      <c r="H536" t="n">
        <v>0.027888244871249</v>
      </c>
      <c r="I536" t="n">
        <v>0.0420140206336704</v>
      </c>
      <c r="J536" t="n">
        <v>0.0515777527223095</v>
      </c>
      <c r="K536" t="n">
        <v>0.4354705290936086</v>
      </c>
      <c r="L536" t="b">
        <v>0</v>
      </c>
      <c r="M536" t="b">
        <v>0</v>
      </c>
      <c r="N536" t="inlineStr">
        <is>
          <t>alt</t>
        </is>
      </c>
      <c r="O536" t="n">
        <v>-40</v>
      </c>
      <c r="P536" t="n">
        <v>0.1242</v>
      </c>
      <c r="Q536" t="n">
        <v>100</v>
      </c>
      <c r="R536" t="n">
        <v>0.199</v>
      </c>
      <c r="S536">
        <f>IMAGE("https://mitra.stanford.edu/kundaje/oak/projects/neuro-variants/variant_position/credible/roussos_2024/variant_figures/roussos_2024.adolescence.Astrocyte/rs67617610_count_position.png",4,220,900)</f>
        <v/>
      </c>
      <c r="T536">
        <f>IMAGE("https://mitra.stanford.edu/kundaje/oak/projects/neuro-variants/variant_position/credible/roussos_2024/variant_figures/roussos_2024.adolescence.Astrocyte/rs67617610_profile_position.png",4,220,900)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-0.0603918606</v>
      </c>
      <c r="G537" t="n">
        <v>0.1825254341169652</v>
      </c>
      <c r="H537" t="n">
        <v>0.0122438183000353</v>
      </c>
      <c r="I537" t="n">
        <v>0.5309580686701652</v>
      </c>
      <c r="J537" t="n">
        <v>3.783046019642168e-05</v>
      </c>
      <c r="K537" t="n">
        <v>0.996457767177556</v>
      </c>
      <c r="L537" t="b">
        <v>0</v>
      </c>
      <c r="M537" t="b">
        <v>0</v>
      </c>
      <c r="N537" t="inlineStr">
        <is>
          <t>ref</t>
        </is>
      </c>
      <c r="O537" t="n">
        <v>45</v>
      </c>
      <c r="P537" t="n">
        <v>0.01237</v>
      </c>
      <c r="Q537" t="n">
        <v>80</v>
      </c>
      <c r="R537" t="n">
        <v>0.1244</v>
      </c>
      <c r="S537">
        <f>IMAGE("https://mitra.stanford.edu/kundaje/oak/projects/neuro-variants/variant_position/credible/roussos_2024/variant_figures/roussos_2024.adolescence.Astrocyte/rs10837072_count_position.png",4,220,900)</f>
        <v/>
      </c>
      <c r="T537">
        <f>IMAGE("https://mitra.stanford.edu/kundaje/oak/projects/neuro-variants/variant_position/credible/roussos_2024/variant_figures/roussos_2024.adolescence.Astrocyte/rs10837072_profile_position.png",4,220,900)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0.01784548048</v>
      </c>
      <c r="G538" t="n">
        <v>0.5844978410604919</v>
      </c>
      <c r="H538" t="n">
        <v>0.0437280589479824</v>
      </c>
      <c r="I538" t="n">
        <v>0.0066450332847139</v>
      </c>
      <c r="J538" t="n">
        <v>0.0003337981782036</v>
      </c>
      <c r="K538" t="n">
        <v>0.942650077051038</v>
      </c>
      <c r="L538" t="b">
        <v>0</v>
      </c>
      <c r="M538" t="b">
        <v>0</v>
      </c>
      <c r="N538" t="inlineStr">
        <is>
          <t>alt</t>
        </is>
      </c>
      <c r="O538" t="n">
        <v>-95</v>
      </c>
      <c r="P538" t="n">
        <v>0.006958</v>
      </c>
      <c r="Q538" t="n">
        <v>45</v>
      </c>
      <c r="R538" t="n">
        <v>0.0706</v>
      </c>
      <c r="S538">
        <f>IMAGE("https://mitra.stanford.edu/kundaje/oak/projects/neuro-variants/variant_position/credible/roussos_2024/variant_figures/roussos_2024.adolescence.Astrocyte/rs12277025_count_position.png",4,220,900)</f>
        <v/>
      </c>
      <c r="T538">
        <f>IMAGE("https://mitra.stanford.edu/kundaje/oak/projects/neuro-variants/variant_position/credible/roussos_2024/variant_figures/roussos_2024.adolescence.Astrocyte/rs12277025_profile_position.png",4,220,900)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-0.0264266904</v>
      </c>
      <c r="G539" t="n">
        <v>0.4626762132051761</v>
      </c>
      <c r="H539" t="n">
        <v>0.0385599304857868</v>
      </c>
      <c r="I539" t="n">
        <v>0.0113001091566752</v>
      </c>
      <c r="J539" t="n">
        <v>0.0028157730765806</v>
      </c>
      <c r="K539" t="n">
        <v>0.8007533821671146</v>
      </c>
      <c r="L539" t="b">
        <v>0</v>
      </c>
      <c r="M539" t="b">
        <v>0</v>
      </c>
      <c r="N539" t="inlineStr">
        <is>
          <t>ref</t>
        </is>
      </c>
      <c r="O539" t="n">
        <v>-55</v>
      </c>
      <c r="P539" t="n">
        <v>0.004486</v>
      </c>
      <c r="Q539" t="n">
        <v>100</v>
      </c>
      <c r="R539" t="n">
        <v>0.10547</v>
      </c>
      <c r="S539">
        <f>IMAGE("https://mitra.stanford.edu/kundaje/oak/projects/neuro-variants/variant_position/credible/roussos_2024/variant_figures/roussos_2024.adolescence.Astrocyte/rs10837077_count_position.png",4,220,900)</f>
        <v/>
      </c>
      <c r="T539">
        <f>IMAGE("https://mitra.stanford.edu/kundaje/oak/projects/neuro-variants/variant_position/credible/roussos_2024/variant_figures/roussos_2024.adolescence.Astrocyte/rs10837077_profile_position.png",4,220,900)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-0.00822247152</v>
      </c>
      <c r="G540" t="n">
        <v>0.7758850439487055</v>
      </c>
      <c r="H540" t="n">
        <v>0.0312118694431594</v>
      </c>
      <c r="I540" t="n">
        <v>0.0266452202810462</v>
      </c>
      <c r="J540" t="n">
        <v>0.0058585289143399</v>
      </c>
      <c r="K540" t="n">
        <v>0.7592594085191033</v>
      </c>
      <c r="L540" t="b">
        <v>0</v>
      </c>
      <c r="M540" t="b">
        <v>0</v>
      </c>
      <c r="N540" t="inlineStr">
        <is>
          <t>ref</t>
        </is>
      </c>
      <c r="O540" t="n">
        <v>100</v>
      </c>
      <c r="P540" t="n">
        <v>0.01065</v>
      </c>
      <c r="Q540" t="n">
        <v>45</v>
      </c>
      <c r="R540" t="n">
        <v>0.03735</v>
      </c>
      <c r="S540">
        <f>IMAGE("https://mitra.stanford.edu/kundaje/oak/projects/neuro-variants/variant_position/credible/roussos_2024/variant_figures/roussos_2024.adolescence.Astrocyte/rs10501212_count_position.png",4,220,900)</f>
        <v/>
      </c>
      <c r="T540">
        <f>IMAGE("https://mitra.stanford.edu/kundaje/oak/projects/neuro-variants/variant_position/credible/roussos_2024/variant_figures/roussos_2024.adolescence.Astrocyte/rs10501212_profile_position.png",4,220,900)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0.00624809794</v>
      </c>
      <c r="G541" t="n">
        <v>0.6753192025530772</v>
      </c>
      <c r="H541" t="n">
        <v>0.0227816159655545</v>
      </c>
      <c r="I541" t="n">
        <v>0.0896696953409096</v>
      </c>
      <c r="J541" t="n">
        <v>0.0113847431979348</v>
      </c>
      <c r="K541" t="n">
        <v>0.647236134885207</v>
      </c>
      <c r="L541" t="b">
        <v>0</v>
      </c>
      <c r="M541" t="b">
        <v>0</v>
      </c>
      <c r="N541" t="inlineStr">
        <is>
          <t>alt</t>
        </is>
      </c>
      <c r="O541" t="n">
        <v>100</v>
      </c>
      <c r="P541" t="n">
        <v>0.03574</v>
      </c>
      <c r="Q541" t="n">
        <v>100</v>
      </c>
      <c r="R541" t="n">
        <v>0.143</v>
      </c>
      <c r="S541">
        <f>IMAGE("https://mitra.stanford.edu/kundaje/oak/projects/neuro-variants/variant_position/credible/roussos_2024/variant_figures/roussos_2024.adolescence.Astrocyte/rs10837082_count_position.png",4,220,900)</f>
        <v/>
      </c>
      <c r="T541">
        <f>IMAGE("https://mitra.stanford.edu/kundaje/oak/projects/neuro-variants/variant_position/credible/roussos_2024/variant_figures/roussos_2024.adolescence.Astrocyte/rs10837082_profile_position.png",4,220,900)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-0.01093816334</v>
      </c>
      <c r="G542" t="n">
        <v>0.7367075104969431</v>
      </c>
      <c r="H542" t="n">
        <v>0.02831832493721</v>
      </c>
      <c r="I542" t="n">
        <v>0.039054555212637</v>
      </c>
      <c r="J542" t="n">
        <v>0.0004888288876361</v>
      </c>
      <c r="K542" t="n">
        <v>0.9135302557049184</v>
      </c>
      <c r="L542" t="b">
        <v>0</v>
      </c>
      <c r="M542" t="b">
        <v>0</v>
      </c>
      <c r="N542" t="inlineStr">
        <is>
          <t>ref</t>
        </is>
      </c>
      <c r="O542" t="n">
        <v>100</v>
      </c>
      <c r="P542" t="n">
        <v>0.10834</v>
      </c>
      <c r="Q542" t="n">
        <v>100</v>
      </c>
      <c r="R542" t="n">
        <v>0.135</v>
      </c>
      <c r="S542">
        <f>IMAGE("https://mitra.stanford.edu/kundaje/oak/projects/neuro-variants/variant_position/credible/roussos_2024/variant_figures/roussos_2024.adolescence.Astrocyte/rs11035025_count_position.png",4,220,900)</f>
        <v/>
      </c>
      <c r="T542">
        <f>IMAGE("https://mitra.stanford.edu/kundaje/oak/projects/neuro-variants/variant_position/credible/roussos_2024/variant_figures/roussos_2024.adolescence.Astrocyte/rs11035025_profile_position.png",4,220,900)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0.00145210138</v>
      </c>
      <c r="G543" t="n">
        <v>0.5382960754396826</v>
      </c>
      <c r="H543" t="n">
        <v>0.0129699504604017</v>
      </c>
      <c r="I543" t="n">
        <v>0.4668098080688515</v>
      </c>
      <c r="J543" t="n">
        <v>0.0018477583597898</v>
      </c>
      <c r="K543" t="n">
        <v>0.8346455122369237</v>
      </c>
      <c r="L543" t="b">
        <v>0</v>
      </c>
      <c r="M543" t="b">
        <v>0</v>
      </c>
      <c r="N543" t="inlineStr">
        <is>
          <t>alt</t>
        </is>
      </c>
      <c r="O543" t="n">
        <v>75</v>
      </c>
      <c r="P543" t="n">
        <v>0.003021</v>
      </c>
      <c r="Q543" t="n">
        <v>5</v>
      </c>
      <c r="R543" t="n">
        <v>0.005737</v>
      </c>
      <c r="S543">
        <f>IMAGE("https://mitra.stanford.edu/kundaje/oak/projects/neuro-variants/variant_position/credible/roussos_2024/variant_figures/roussos_2024.adolescence.Astrocyte/rs7119965_count_position.png",4,220,900)</f>
        <v/>
      </c>
      <c r="T543">
        <f>IMAGE("https://mitra.stanford.edu/kundaje/oak/projects/neuro-variants/variant_position/credible/roussos_2024/variant_figures/roussos_2024.adolescence.Astrocyte/rs7119965_profile_position.png",4,220,900)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-0.1361633736</v>
      </c>
      <c r="G544" t="n">
        <v>0.0455213062172116</v>
      </c>
      <c r="H544" t="n">
        <v>0.0155013166214798</v>
      </c>
      <c r="I544" t="n">
        <v>0.2982961189703355</v>
      </c>
      <c r="J544" t="n">
        <v>0.008041568999792199</v>
      </c>
      <c r="K544" t="n">
        <v>0.7223085987810868</v>
      </c>
      <c r="L544" t="b">
        <v>0</v>
      </c>
      <c r="M544" t="b">
        <v>0</v>
      </c>
      <c r="N544" t="inlineStr">
        <is>
          <t>ref</t>
        </is>
      </c>
      <c r="O544" t="n">
        <v>-75</v>
      </c>
      <c r="P544" t="n">
        <v>0.001698</v>
      </c>
      <c r="Q544" t="n">
        <v>15</v>
      </c>
      <c r="R544" t="n">
        <v>0.02905</v>
      </c>
      <c r="S544">
        <f>IMAGE("https://mitra.stanford.edu/kundaje/oak/projects/neuro-variants/variant_position/credible/roussos_2024/variant_figures/roussos_2024.adolescence.Astrocyte/rs10768438_count_position.png",4,220,900)</f>
        <v/>
      </c>
      <c r="T544">
        <f>IMAGE("https://mitra.stanford.edu/kundaje/oak/projects/neuro-variants/variant_position/credible/roussos_2024/variant_figures/roussos_2024.adolescence.Astrocyte/rs10768438_profile_position.png",4,220,900)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0.0214965456</v>
      </c>
      <c r="G545" t="n">
        <v>0.5354044027694513</v>
      </c>
      <c r="H545" t="n">
        <v>0.0350058458424889</v>
      </c>
      <c r="I545" t="n">
        <v>0.016649534180284</v>
      </c>
      <c r="J545" t="n">
        <v>0.0169910690442986</v>
      </c>
      <c r="K545" t="n">
        <v>0.5972739362962982</v>
      </c>
      <c r="L545" t="b">
        <v>1</v>
      </c>
      <c r="M545" t="b">
        <v>0</v>
      </c>
      <c r="N545" t="inlineStr">
        <is>
          <t>alt</t>
        </is>
      </c>
      <c r="O545" t="n">
        <v>90</v>
      </c>
      <c r="P545" t="n">
        <v>0.004272</v>
      </c>
      <c r="Q545" t="n">
        <v>5</v>
      </c>
      <c r="R545" t="n">
        <v>0.004578</v>
      </c>
      <c r="S545">
        <f>IMAGE("https://mitra.stanford.edu/kundaje/oak/projects/neuro-variants/variant_position/credible/roussos_2024/variant_figures/roussos_2024.adolescence.Astrocyte/rs10837090_count_position.png",4,220,900)</f>
        <v/>
      </c>
      <c r="T545">
        <f>IMAGE("https://mitra.stanford.edu/kundaje/oak/projects/neuro-variants/variant_position/credible/roussos_2024/variant_figures/roussos_2024.adolescence.Astrocyte/rs10837090_profile_position.png",4,220,900)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-0.0168700897</v>
      </c>
      <c r="G546" t="n">
        <v>0.625363323775863</v>
      </c>
      <c r="H546" t="n">
        <v>0.038176525864029</v>
      </c>
      <c r="I546" t="n">
        <v>0.011894027658805</v>
      </c>
      <c r="J546" t="n">
        <v>0.276233569711895</v>
      </c>
      <c r="K546" t="n">
        <v>0.1477953883513001</v>
      </c>
      <c r="L546" t="b">
        <v>1</v>
      </c>
      <c r="M546" t="b">
        <v>0</v>
      </c>
      <c r="N546" t="inlineStr">
        <is>
          <t>ref</t>
        </is>
      </c>
      <c r="O546" t="n">
        <v>-100</v>
      </c>
      <c r="P546" t="n">
        <v>0.1344</v>
      </c>
      <c r="Q546" t="n">
        <v>95</v>
      </c>
      <c r="R546" t="n">
        <v>0.1123</v>
      </c>
      <c r="S546">
        <f>IMAGE("https://mitra.stanford.edu/kundaje/oak/projects/neuro-variants/variant_position/credible/roussos_2024/variant_figures/roussos_2024.adolescence.Astrocyte/rs200720298_count_position.png",4,220,900)</f>
        <v/>
      </c>
      <c r="T546">
        <f>IMAGE("https://mitra.stanford.edu/kundaje/oak/projects/neuro-variants/variant_position/credible/roussos_2024/variant_figures/roussos_2024.adolescence.Astrocyte/rs200720298_profile_position.png",4,220,900)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-0.0233088670799999</v>
      </c>
      <c r="G547" t="n">
        <v>0.5357951436905242</v>
      </c>
      <c r="H547" t="n">
        <v>0.0285660268952173</v>
      </c>
      <c r="I547" t="n">
        <v>0.0381852118416434</v>
      </c>
      <c r="J547" t="n">
        <v>0.3297747974957718</v>
      </c>
      <c r="K547" t="n">
        <v>0.118744751901798</v>
      </c>
      <c r="L547" t="b">
        <v>0</v>
      </c>
      <c r="M547" t="b">
        <v>0</v>
      </c>
      <c r="N547" t="inlineStr">
        <is>
          <t>ref</t>
        </is>
      </c>
      <c r="O547" t="n">
        <v>-10</v>
      </c>
      <c r="P547" t="n">
        <v>0.0003586</v>
      </c>
      <c r="Q547" t="n">
        <v>-40</v>
      </c>
      <c r="R547" t="n">
        <v>0.1871</v>
      </c>
      <c r="S547">
        <f>IMAGE("https://mitra.stanford.edu/kundaje/oak/projects/neuro-variants/variant_position/credible/roussos_2024/variant_figures/roussos_2024.adolescence.Astrocyte/rs3740974_count_position.png",4,220,900)</f>
        <v/>
      </c>
      <c r="T547">
        <f>IMAGE("https://mitra.stanford.edu/kundaje/oak/projects/neuro-variants/variant_position/credible/roussos_2024/variant_figures/roussos_2024.adolescence.Astrocyte/rs3740974_profile_position.png",4,220,900)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0.328202196</v>
      </c>
      <c r="G548" t="n">
        <v>0.0050916911681367</v>
      </c>
      <c r="H548" t="n">
        <v>0.0322064516224594</v>
      </c>
      <c r="I548" t="n">
        <v>0.0242543372432137</v>
      </c>
      <c r="J548" t="n">
        <v>0.1577574696614544</v>
      </c>
      <c r="K548" t="n">
        <v>0.2511514404085185</v>
      </c>
      <c r="L548" t="b">
        <v>1</v>
      </c>
      <c r="M548" t="b">
        <v>1</v>
      </c>
      <c r="N548" t="inlineStr">
        <is>
          <t>alt</t>
        </is>
      </c>
      <c r="O548" t="n">
        <v>-85</v>
      </c>
      <c r="P548" t="n">
        <v>0.005127</v>
      </c>
      <c r="Q548" t="n">
        <v>-85</v>
      </c>
      <c r="R548" t="n">
        <v>0.0791</v>
      </c>
      <c r="S548">
        <f>IMAGE("https://mitra.stanford.edu/kundaje/oak/projects/neuro-variants/variant_position/credible/roussos_2024/variant_figures/roussos_2024.adolescence.Astrocyte/rs12283172_count_position.png",4,220,900)</f>
        <v/>
      </c>
      <c r="T548">
        <f>IMAGE("https://mitra.stanford.edu/kundaje/oak/projects/neuro-variants/variant_position/credible/roussos_2024/variant_figures/roussos_2024.adolescence.Astrocyte/rs12283172_profile_position.png",4,220,900)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-0.08638823829999991</v>
      </c>
      <c r="G549" t="n">
        <v>0.1261641684238878</v>
      </c>
      <c r="H549" t="n">
        <v>0.012790152448725</v>
      </c>
      <c r="I549" t="n">
        <v>0.4807517594236689</v>
      </c>
      <c r="J549" t="n">
        <v>0.1529841557131412</v>
      </c>
      <c r="K549" t="n">
        <v>0.2497368942825518</v>
      </c>
      <c r="L549" t="b">
        <v>0</v>
      </c>
      <c r="M549" t="b">
        <v>0</v>
      </c>
      <c r="N549" t="inlineStr">
        <is>
          <t>ref</t>
        </is>
      </c>
      <c r="O549" t="n">
        <v>-45</v>
      </c>
      <c r="P549" t="n">
        <v>0.01123</v>
      </c>
      <c r="Q549" t="n">
        <v>-40</v>
      </c>
      <c r="R549" t="n">
        <v>0.0813</v>
      </c>
      <c r="S549">
        <f>IMAGE("https://mitra.stanford.edu/kundaje/oak/projects/neuro-variants/variant_position/credible/roussos_2024/variant_figures/roussos_2024.adolescence.Astrocyte/rs2864076_count_position.png",4,220,900)</f>
        <v/>
      </c>
      <c r="T549">
        <f>IMAGE("https://mitra.stanford.edu/kundaje/oak/projects/neuro-variants/variant_position/credible/roussos_2024/variant_figures/roussos_2024.adolescence.Astrocyte/rs2864076_profile_position.png",4,220,900)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-0.0096192858576</v>
      </c>
      <c r="G550" t="n">
        <v>0.7457981893986257</v>
      </c>
      <c r="H550" t="n">
        <v>0.0326217675228259</v>
      </c>
      <c r="I550" t="n">
        <v>0.0224810283649652</v>
      </c>
      <c r="J550" t="n">
        <v>0.009157196688722001</v>
      </c>
      <c r="K550" t="n">
        <v>0.6705155714822749</v>
      </c>
      <c r="L550" t="b">
        <v>0</v>
      </c>
      <c r="M550" t="b">
        <v>0</v>
      </c>
      <c r="N550" t="inlineStr">
        <is>
          <t>ref</t>
        </is>
      </c>
      <c r="O550" t="n">
        <v>-100</v>
      </c>
      <c r="P550" t="n">
        <v>0.01417</v>
      </c>
      <c r="Q550" t="n">
        <v>100</v>
      </c>
      <c r="R550" t="n">
        <v>0.07837</v>
      </c>
      <c r="S550">
        <f>IMAGE("https://mitra.stanford.edu/kundaje/oak/projects/neuro-variants/variant_position/credible/roussos_2024/variant_figures/roussos_2024.adolescence.Astrocyte/rs115292163_count_position.png",4,220,900)</f>
        <v/>
      </c>
      <c r="T550">
        <f>IMAGE("https://mitra.stanford.edu/kundaje/oak/projects/neuro-variants/variant_position/credible/roussos_2024/variant_figures/roussos_2024.adolescence.Astrocyte/rs115292163_profile_position.png",4,220,900)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0.1204139014</v>
      </c>
      <c r="G551" t="n">
        <v>0.0652374794503081</v>
      </c>
      <c r="H551" t="n">
        <v>0.0197490086844743</v>
      </c>
      <c r="I551" t="n">
        <v>0.1515834439568006</v>
      </c>
      <c r="J551" t="n">
        <v>0.1461813488413494</v>
      </c>
      <c r="K551" t="n">
        <v>0.257182205281443</v>
      </c>
      <c r="L551" t="b">
        <v>0</v>
      </c>
      <c r="M551" t="b">
        <v>0</v>
      </c>
      <c r="N551" t="inlineStr">
        <is>
          <t>alt</t>
        </is>
      </c>
      <c r="O551" t="n">
        <v>30</v>
      </c>
      <c r="P551" t="n">
        <v>0.0035</v>
      </c>
      <c r="Q551" t="n">
        <v>20</v>
      </c>
      <c r="R551" t="n">
        <v>0.09705</v>
      </c>
      <c r="S551">
        <f>IMAGE("https://mitra.stanford.edu/kundaje/oak/projects/neuro-variants/variant_position/credible/roussos_2024/variant_figures/roussos_2024.adolescence.Astrocyte/rs7130141_count_position.png",4,220,900)</f>
        <v/>
      </c>
      <c r="T551">
        <f>IMAGE("https://mitra.stanford.edu/kundaje/oak/projects/neuro-variants/variant_position/credible/roussos_2024/variant_figures/roussos_2024.adolescence.Astrocyte/rs7130141_profile_position.png",4,220,900)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0.0108030206</v>
      </c>
      <c r="G552" t="n">
        <v>0.4493863222726973</v>
      </c>
      <c r="H552" t="n">
        <v>0.0140901493923065</v>
      </c>
      <c r="I552" t="n">
        <v>0.3858984887991198</v>
      </c>
      <c r="J552" t="n">
        <v>0.1519367712073109</v>
      </c>
      <c r="K552" t="n">
        <v>0.2503762235246233</v>
      </c>
      <c r="L552" t="b">
        <v>0</v>
      </c>
      <c r="M552" t="b">
        <v>0</v>
      </c>
      <c r="N552" t="inlineStr">
        <is>
          <t>alt</t>
        </is>
      </c>
      <c r="O552" t="n">
        <v>-60</v>
      </c>
      <c r="P552" t="n">
        <v>0.01422</v>
      </c>
      <c r="Q552" t="n">
        <v>-60</v>
      </c>
      <c r="R552" t="n">
        <v>0.02393</v>
      </c>
      <c r="S552">
        <f>IMAGE("https://mitra.stanford.edu/kundaje/oak/projects/neuro-variants/variant_position/credible/roussos_2024/variant_figures/roussos_2024.adolescence.Astrocyte/rs3802888_count_position.png",4,220,900)</f>
        <v/>
      </c>
      <c r="T552">
        <f>IMAGE("https://mitra.stanford.edu/kundaje/oak/projects/neuro-variants/variant_position/credible/roussos_2024/variant_figures/roussos_2024.adolescence.Astrocyte/rs3802888_profile_position.png",4,220,900)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-0.008460778400000001</v>
      </c>
      <c r="G553" t="n">
        <v>0.3428386227614955</v>
      </c>
      <c r="H553" t="n">
        <v>0.0095971551901636</v>
      </c>
      <c r="I553" t="n">
        <v>0.7638154990752016</v>
      </c>
      <c r="J553" t="n">
        <v>0.2833405038127169</v>
      </c>
      <c r="K553" t="n">
        <v>0.1445476472865393</v>
      </c>
      <c r="L553" t="b">
        <v>0</v>
      </c>
      <c r="M553" t="b">
        <v>0</v>
      </c>
      <c r="N553" t="inlineStr">
        <is>
          <t>ref</t>
        </is>
      </c>
      <c r="O553" t="n">
        <v>-80</v>
      </c>
      <c r="P553" t="n">
        <v>0.01253</v>
      </c>
      <c r="Q553" t="n">
        <v>100</v>
      </c>
      <c r="R553" t="n">
        <v>0.07920000000000001</v>
      </c>
      <c r="S553">
        <f>IMAGE("https://mitra.stanford.edu/kundaje/oak/projects/neuro-variants/variant_position/credible/roussos_2024/variant_figures/roussos_2024.adolescence.Astrocyte/rs17197116_count_position.png",4,220,900)</f>
        <v/>
      </c>
      <c r="T553">
        <f>IMAGE("https://mitra.stanford.edu/kundaje/oak/projects/neuro-variants/variant_position/credible/roussos_2024/variant_figures/roussos_2024.adolescence.Astrocyte/rs17197116_profile_position.png",4,220,900)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0.0132110347399999</v>
      </c>
      <c r="G554" t="n">
        <v>0.6561647169937987</v>
      </c>
      <c r="H554" t="n">
        <v>0.0372112372669533</v>
      </c>
      <c r="I554" t="n">
        <v>0.0133657239080054</v>
      </c>
      <c r="J554" t="n">
        <v>0.3350940569088805</v>
      </c>
      <c r="K554" t="n">
        <v>0.1160635168237264</v>
      </c>
      <c r="L554" t="b">
        <v>1</v>
      </c>
      <c r="M554" t="b">
        <v>0</v>
      </c>
      <c r="N554" t="inlineStr">
        <is>
          <t>alt</t>
        </is>
      </c>
      <c r="O554" t="n">
        <v>100</v>
      </c>
      <c r="P554" t="n">
        <v>0.003967</v>
      </c>
      <c r="Q554" t="n">
        <v>-95</v>
      </c>
      <c r="R554" t="n">
        <v>0.3276</v>
      </c>
      <c r="S554">
        <f>IMAGE("https://mitra.stanford.edu/kundaje/oak/projects/neuro-variants/variant_position/credible/roussos_2024/variant_figures/roussos_2024.adolescence.Astrocyte/rs7932866_count_position.png",4,220,900)</f>
        <v/>
      </c>
      <c r="T554">
        <f>IMAGE("https://mitra.stanford.edu/kundaje/oak/projects/neuro-variants/variant_position/credible/roussos_2024/variant_figures/roussos_2024.adolescence.Astrocyte/rs7932866_profile_position.png",4,220,900)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-0.0153015432</v>
      </c>
      <c r="G555" t="n">
        <v>0.637685982274529</v>
      </c>
      <c r="H555" t="n">
        <v>0.0348695868824361</v>
      </c>
      <c r="I555" t="n">
        <v>0.0170988518724368</v>
      </c>
      <c r="J555" t="n">
        <v>0.0062620538231017</v>
      </c>
      <c r="K555" t="n">
        <v>0.7133635271334692</v>
      </c>
      <c r="L555" t="b">
        <v>0</v>
      </c>
      <c r="M555" t="b">
        <v>0</v>
      </c>
      <c r="N555" t="inlineStr">
        <is>
          <t>ref</t>
        </is>
      </c>
      <c r="O555" t="n">
        <v>15</v>
      </c>
      <c r="P555" t="n">
        <v>0.000977</v>
      </c>
      <c r="Q555" t="n">
        <v>-100</v>
      </c>
      <c r="R555" t="n">
        <v>0.06610000000000001</v>
      </c>
      <c r="S555">
        <f>IMAGE("https://mitra.stanford.edu/kundaje/oak/projects/neuro-variants/variant_position/credible/roussos_2024/variant_figures/roussos_2024.adolescence.Astrocyte/rs11038919_count_position.png",4,220,900)</f>
        <v/>
      </c>
      <c r="T555">
        <f>IMAGE("https://mitra.stanford.edu/kundaje/oak/projects/neuro-variants/variant_position/credible/roussos_2024/variant_figures/roussos_2024.adolescence.Astrocyte/rs11038919_profile_position.png",4,220,900)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-0.01882603308</v>
      </c>
      <c r="G556" t="n">
        <v>0.4807929201139058</v>
      </c>
      <c r="H556" t="n">
        <v>0.0129433983316164</v>
      </c>
      <c r="I556" t="n">
        <v>0.4672660019278333</v>
      </c>
      <c r="J556" t="n">
        <v>0.06679449900602311</v>
      </c>
      <c r="K556" t="n">
        <v>0.3940999965977277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0.00354</v>
      </c>
      <c r="Q556" t="n">
        <v>-100</v>
      </c>
      <c r="R556" t="n">
        <v>0.1179</v>
      </c>
      <c r="S556">
        <f>IMAGE("https://mitra.stanford.edu/kundaje/oak/projects/neuro-variants/variant_position/credible/roussos_2024/variant_figures/roussos_2024.adolescence.Astrocyte/rs61882757_count_position.png",4,220,900)</f>
        <v/>
      </c>
      <c r="T556">
        <f>IMAGE("https://mitra.stanford.edu/kundaje/oak/projects/neuro-variants/variant_position/credible/roussos_2024/variant_figures/roussos_2024.adolescence.Astrocyte/rs61882757_profile_position.png",4,220,900)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0.0093190373794</v>
      </c>
      <c r="G557" t="n">
        <v>0.7010400364638534</v>
      </c>
      <c r="H557" t="n">
        <v>0.0109609251074953</v>
      </c>
      <c r="I557" t="n">
        <v>0.6560659558669576</v>
      </c>
      <c r="J557" t="n">
        <v>0.004883838233985</v>
      </c>
      <c r="K557" t="n">
        <v>0.7454209713540276</v>
      </c>
      <c r="L557" t="b">
        <v>0</v>
      </c>
      <c r="M557" t="b">
        <v>0</v>
      </c>
      <c r="N557" t="inlineStr">
        <is>
          <t>alt</t>
        </is>
      </c>
      <c r="O557" t="n">
        <v>20</v>
      </c>
      <c r="P557" t="n">
        <v>0.002594</v>
      </c>
      <c r="Q557" t="n">
        <v>40</v>
      </c>
      <c r="R557" t="n">
        <v>0.02313</v>
      </c>
      <c r="S557">
        <f>IMAGE("https://mitra.stanford.edu/kundaje/oak/projects/neuro-variants/variant_position/credible/roussos_2024/variant_figures/roussos_2024.adolescence.Astrocyte/rs55657382_count_position.png",4,220,900)</f>
        <v/>
      </c>
      <c r="T557">
        <f>IMAGE("https://mitra.stanford.edu/kundaje/oak/projects/neuro-variants/variant_position/credible/roussos_2024/variant_figures/roussos_2024.adolescence.Astrocyte/rs55657382_profile_position.png",4,220,900)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-0.07169489999999989</v>
      </c>
      <c r="G558" t="n">
        <v>0.1530268946416812</v>
      </c>
      <c r="H558" t="n">
        <v>0.054569044926341</v>
      </c>
      <c r="I558" t="n">
        <v>0.0028321577768304</v>
      </c>
      <c r="J558" t="n">
        <v>0.0175518499836809</v>
      </c>
      <c r="K558" t="n">
        <v>0.5990904281742854</v>
      </c>
      <c r="L558" t="b">
        <v>1</v>
      </c>
      <c r="M558" t="b">
        <v>0</v>
      </c>
      <c r="N558" t="inlineStr">
        <is>
          <t>ref</t>
        </is>
      </c>
      <c r="O558" t="n">
        <v>-10</v>
      </c>
      <c r="P558" t="n">
        <v>0.001038</v>
      </c>
      <c r="Q558" t="n">
        <v>100</v>
      </c>
      <c r="R558" t="n">
        <v>0.1024</v>
      </c>
      <c r="S558">
        <f>IMAGE("https://mitra.stanford.edu/kundaje/oak/projects/neuro-variants/variant_position/credible/roussos_2024/variant_figures/roussos_2024.adolescence.Astrocyte/rs7128092_count_position.png",4,220,900)</f>
        <v/>
      </c>
      <c r="T558">
        <f>IMAGE("https://mitra.stanford.edu/kundaje/oak/projects/neuro-variants/variant_position/credible/roussos_2024/variant_figures/roussos_2024.adolescence.Astrocyte/rs7128092_profile_position.png",4,220,900)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0.126853</v>
      </c>
      <c r="G559" t="n">
        <v>0.0483059410727468</v>
      </c>
      <c r="H559" t="n">
        <v>0.0141745043733706</v>
      </c>
      <c r="I559" t="n">
        <v>0.3763343254229064</v>
      </c>
      <c r="J559" t="n">
        <v>0.0225484378245259</v>
      </c>
      <c r="K559" t="n">
        <v>0.5610109672745139</v>
      </c>
      <c r="L559" t="b">
        <v>0</v>
      </c>
      <c r="M559" t="b">
        <v>0</v>
      </c>
      <c r="N559" t="inlineStr">
        <is>
          <t>alt</t>
        </is>
      </c>
      <c r="O559" t="n">
        <v>90</v>
      </c>
      <c r="P559" t="n">
        <v>0.005356</v>
      </c>
      <c r="Q559" t="n">
        <v>100</v>
      </c>
      <c r="R559" t="n">
        <v>0.2244</v>
      </c>
      <c r="S559">
        <f>IMAGE("https://mitra.stanford.edu/kundaje/oak/projects/neuro-variants/variant_position/credible/roussos_2024/variant_figures/roussos_2024.adolescence.Astrocyte/rs61884274_count_position.png",4,220,900)</f>
        <v/>
      </c>
      <c r="T559">
        <f>IMAGE("https://mitra.stanford.edu/kundaje/oak/projects/neuro-variants/variant_position/credible/roussos_2024/variant_figures/roussos_2024.adolescence.Astrocyte/rs61884274_profile_position.png",4,220,900)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-0.144199376</v>
      </c>
      <c r="G560" t="n">
        <v>0.039800115004284</v>
      </c>
      <c r="H560" t="n">
        <v>0.0146373751193091</v>
      </c>
      <c r="I560" t="n">
        <v>0.3517455899786195</v>
      </c>
      <c r="J560" t="n">
        <v>0.2393288431296917</v>
      </c>
      <c r="K560" t="n">
        <v>0.1734207385886987</v>
      </c>
      <c r="L560" t="b">
        <v>0</v>
      </c>
      <c r="M560" t="b">
        <v>0</v>
      </c>
      <c r="N560" t="inlineStr">
        <is>
          <t>ref</t>
        </is>
      </c>
      <c r="O560" t="n">
        <v>65</v>
      </c>
      <c r="P560" t="n">
        <v>0.00535</v>
      </c>
      <c r="Q560" t="n">
        <v>65</v>
      </c>
      <c r="R560" t="n">
        <v>0.0635</v>
      </c>
      <c r="S560">
        <f>IMAGE("https://mitra.stanford.edu/kundaje/oak/projects/neuro-variants/variant_position/credible/roussos_2024/variant_figures/roussos_2024.adolescence.Astrocyte/rs10838610_count_position.png",4,220,900)</f>
        <v/>
      </c>
      <c r="T560">
        <f>IMAGE("https://mitra.stanford.edu/kundaje/oak/projects/neuro-variants/variant_position/credible/roussos_2024/variant_figures/roussos_2024.adolescence.Astrocyte/rs10838610_profile_position.png",4,220,900)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0.0273901956</v>
      </c>
      <c r="G561" t="n">
        <v>0.4157304491874709</v>
      </c>
      <c r="H561" t="n">
        <v>0.0122188881443911</v>
      </c>
      <c r="I561" t="n">
        <v>0.5247245309383809</v>
      </c>
      <c r="J561" t="n">
        <v>0.0098885855858528</v>
      </c>
      <c r="K561" t="n">
        <v>0.660478957280386</v>
      </c>
      <c r="L561" t="b">
        <v>0</v>
      </c>
      <c r="M561" t="b">
        <v>0</v>
      </c>
      <c r="N561" t="inlineStr">
        <is>
          <t>alt</t>
        </is>
      </c>
      <c r="O561" t="n">
        <v>-90</v>
      </c>
      <c r="P561" t="n">
        <v>0.01212</v>
      </c>
      <c r="Q561" t="n">
        <v>-70</v>
      </c>
      <c r="R561" t="n">
        <v>0.0839</v>
      </c>
      <c r="S561">
        <f>IMAGE("https://mitra.stanford.edu/kundaje/oak/projects/neuro-variants/variant_position/credible/roussos_2024/variant_figures/roussos_2024.adolescence.Astrocyte/rs10466477_count_position.png",4,220,900)</f>
        <v/>
      </c>
      <c r="T561">
        <f>IMAGE("https://mitra.stanford.edu/kundaje/oak/projects/neuro-variants/variant_position/credible/roussos_2024/variant_figures/roussos_2024.adolescence.Astrocyte/rs10466477_profile_position.png",4,220,900)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0.02536851912</v>
      </c>
      <c r="G562" t="n">
        <v>0.4724799771434158</v>
      </c>
      <c r="H562" t="n">
        <v>0.037776434822482</v>
      </c>
      <c r="I562" t="n">
        <v>0.0120937905369423</v>
      </c>
      <c r="J562" t="n">
        <v>0.0004228110257246</v>
      </c>
      <c r="K562" t="n">
        <v>0.9433291693082028</v>
      </c>
      <c r="L562" t="b">
        <v>0</v>
      </c>
      <c r="M562" t="b">
        <v>0</v>
      </c>
      <c r="N562" t="inlineStr">
        <is>
          <t>alt</t>
        </is>
      </c>
      <c r="O562" t="n">
        <v>-60</v>
      </c>
      <c r="P562" t="n">
        <v>0.012886</v>
      </c>
      <c r="Q562" t="n">
        <v>-65</v>
      </c>
      <c r="R562" t="n">
        <v>0.0968</v>
      </c>
      <c r="S562">
        <f>IMAGE("https://mitra.stanford.edu/kundaje/oak/projects/neuro-variants/variant_position/credible/roussos_2024/variant_figures/roussos_2024.adolescence.Astrocyte/rs7111811_count_position.png",4,220,900)</f>
        <v/>
      </c>
      <c r="T562">
        <f>IMAGE("https://mitra.stanford.edu/kundaje/oak/projects/neuro-variants/variant_position/credible/roussos_2024/variant_figures/roussos_2024.adolescence.Astrocyte/rs7111811_profile_position.png",4,220,900)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0.0576502772</v>
      </c>
      <c r="G563" t="n">
        <v>0.1979677832172339</v>
      </c>
      <c r="H563" t="n">
        <v>0.0114338430566467</v>
      </c>
      <c r="I563" t="n">
        <v>0.6084677698933557</v>
      </c>
      <c r="J563" t="n">
        <v>0.0011386226745393</v>
      </c>
      <c r="K563" t="n">
        <v>0.8678389197319143</v>
      </c>
      <c r="L563" t="b">
        <v>0</v>
      </c>
      <c r="M563" t="b">
        <v>0</v>
      </c>
      <c r="N563" t="inlineStr">
        <is>
          <t>alt</t>
        </is>
      </c>
      <c r="O563" t="n">
        <v>100</v>
      </c>
      <c r="P563" t="n">
        <v>0.007362</v>
      </c>
      <c r="Q563" t="n">
        <v>95</v>
      </c>
      <c r="R563" t="n">
        <v>0.01996</v>
      </c>
      <c r="S563">
        <f>IMAGE("https://mitra.stanford.edu/kundaje/oak/projects/neuro-variants/variant_position/credible/roussos_2024/variant_figures/roussos_2024.adolescence.Astrocyte/rs6485690_count_position.png",4,220,900)</f>
        <v/>
      </c>
      <c r="T563">
        <f>IMAGE("https://mitra.stanford.edu/kundaje/oak/projects/neuro-variants/variant_position/credible/roussos_2024/variant_figures/roussos_2024.adolescence.Astrocyte/rs6485690_profile_position.png",4,220,900)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0.0418691676</v>
      </c>
      <c r="G564" t="n">
        <v>0.30126775283474</v>
      </c>
      <c r="H564" t="n">
        <v>0.0133851004142772</v>
      </c>
      <c r="I564" t="n">
        <v>0.4362422004091256</v>
      </c>
      <c r="J564" t="n">
        <v>0.0224023083998456</v>
      </c>
      <c r="K564" t="n">
        <v>0.5621418708195777</v>
      </c>
      <c r="L564" t="b">
        <v>0</v>
      </c>
      <c r="M564" t="b">
        <v>0</v>
      </c>
      <c r="N564" t="inlineStr">
        <is>
          <t>alt</t>
        </is>
      </c>
      <c r="O564" t="n">
        <v>-50</v>
      </c>
      <c r="P564" t="n">
        <v>0.0393</v>
      </c>
      <c r="Q564" t="n">
        <v>-50</v>
      </c>
      <c r="R564" t="n">
        <v>0.07240000000000001</v>
      </c>
      <c r="S564">
        <f>IMAGE("https://mitra.stanford.edu/kundaje/oak/projects/neuro-variants/variant_position/credible/roussos_2024/variant_figures/roussos_2024.adolescence.Astrocyte/rs7118097_count_position.png",4,220,900)</f>
        <v/>
      </c>
      <c r="T564">
        <f>IMAGE("https://mitra.stanford.edu/kundaje/oak/projects/neuro-variants/variant_position/credible/roussos_2024/variant_figures/roussos_2024.adolescence.Astrocyte/rs7118097_profile_position.png",4,220,900)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0.00226386868</v>
      </c>
      <c r="G565" t="n">
        <v>0.8875179441499353</v>
      </c>
      <c r="H565" t="n">
        <v>0.0263140174183702</v>
      </c>
      <c r="I565" t="n">
        <v>0.0524685079107846</v>
      </c>
      <c r="J565" t="n">
        <v>0.0029440999317567</v>
      </c>
      <c r="K565" t="n">
        <v>0.8141591117863635</v>
      </c>
      <c r="L565" t="b">
        <v>0</v>
      </c>
      <c r="M565" t="b">
        <v>0</v>
      </c>
      <c r="N565" t="inlineStr">
        <is>
          <t>alt</t>
        </is>
      </c>
      <c r="O565" t="n">
        <v>25</v>
      </c>
      <c r="P565" t="n">
        <v>0.002071</v>
      </c>
      <c r="Q565" t="n">
        <v>40</v>
      </c>
      <c r="R565" t="n">
        <v>0.02771</v>
      </c>
      <c r="S565">
        <f>IMAGE("https://mitra.stanford.edu/kundaje/oak/projects/neuro-variants/variant_position/credible/roussos_2024/variant_figures/roussos_2024.adolescence.Astrocyte/rs6485696_count_position.png",4,220,900)</f>
        <v/>
      </c>
      <c r="T565">
        <f>IMAGE("https://mitra.stanford.edu/kundaje/oak/projects/neuro-variants/variant_position/credible/roussos_2024/variant_figures/roussos_2024.adolescence.Astrocyte/rs6485696_profile_position.png",4,220,900)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0.006500519632</v>
      </c>
      <c r="G566" t="n">
        <v>0.8202364414748525</v>
      </c>
      <c r="H566" t="n">
        <v>0.0077923444145135</v>
      </c>
      <c r="I566" t="n">
        <v>0.9340579515451553</v>
      </c>
      <c r="J566" t="n">
        <v>0.0048007595762988</v>
      </c>
      <c r="K566" t="n">
        <v>0.7578636079574208</v>
      </c>
      <c r="L566" t="b">
        <v>0</v>
      </c>
      <c r="M566" t="b">
        <v>0</v>
      </c>
      <c r="N566" t="inlineStr">
        <is>
          <t>alt</t>
        </is>
      </c>
      <c r="O566" t="n">
        <v>-100</v>
      </c>
      <c r="P566" t="n">
        <v>0.2139</v>
      </c>
      <c r="Q566" t="n">
        <v>-100</v>
      </c>
      <c r="R566" t="n">
        <v>0.2201</v>
      </c>
      <c r="S566">
        <f>IMAGE("https://mitra.stanford.edu/kundaje/oak/projects/neuro-variants/variant_position/credible/roussos_2024/variant_figures/roussos_2024.adolescence.Astrocyte/rs11824327_count_position.png",4,220,900)</f>
        <v/>
      </c>
      <c r="T566">
        <f>IMAGE("https://mitra.stanford.edu/kundaje/oak/projects/neuro-variants/variant_position/credible/roussos_2024/variant_figures/roussos_2024.adolescence.Astrocyte/rs11824327_profile_position.png",4,220,900)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-0.0119853023199999</v>
      </c>
      <c r="G567" t="n">
        <v>0.6487964581139162</v>
      </c>
      <c r="H567" t="n">
        <v>0.0329875700200853</v>
      </c>
      <c r="I567" t="n">
        <v>0.0221063539539042</v>
      </c>
      <c r="J567" t="n">
        <v>0.0055521763641218</v>
      </c>
      <c r="K567" t="n">
        <v>0.7359369446058655</v>
      </c>
      <c r="L567" t="b">
        <v>0</v>
      </c>
      <c r="M567" t="b">
        <v>0</v>
      </c>
      <c r="N567" t="inlineStr">
        <is>
          <t>ref</t>
        </is>
      </c>
      <c r="O567" t="n">
        <v>-55</v>
      </c>
      <c r="P567" t="n">
        <v>0.01755</v>
      </c>
      <c r="Q567" t="n">
        <v>100</v>
      </c>
      <c r="R567" t="n">
        <v>0.0946</v>
      </c>
      <c r="S567">
        <f>IMAGE("https://mitra.stanford.edu/kundaje/oak/projects/neuro-variants/variant_position/credible/roussos_2024/variant_figures/roussos_2024.adolescence.Astrocyte/rs7938960_count_position.png",4,220,900)</f>
        <v/>
      </c>
      <c r="T567">
        <f>IMAGE("https://mitra.stanford.edu/kundaje/oak/projects/neuro-variants/variant_position/credible/roussos_2024/variant_figures/roussos_2024.adolescence.Astrocyte/rs7938960_profile_position.png",4,220,900)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-0.02071627554</v>
      </c>
      <c r="G568" t="n">
        <v>0.5369790308154183</v>
      </c>
      <c r="H568" t="n">
        <v>0.0307462015005914</v>
      </c>
      <c r="I568" t="n">
        <v>0.0289522090767096</v>
      </c>
      <c r="J568" t="n">
        <v>0.0081320653947719</v>
      </c>
      <c r="K568" t="n">
        <v>0.6934428192835342</v>
      </c>
      <c r="L568" t="b">
        <v>0</v>
      </c>
      <c r="M568" t="b">
        <v>0</v>
      </c>
      <c r="N568" t="inlineStr">
        <is>
          <t>ref</t>
        </is>
      </c>
      <c r="O568" t="n">
        <v>-100</v>
      </c>
      <c r="P568" t="n">
        <v>0.06274</v>
      </c>
      <c r="Q568" t="n">
        <v>-100</v>
      </c>
      <c r="R568" t="n">
        <v>0.2406</v>
      </c>
      <c r="S568">
        <f>IMAGE("https://mitra.stanford.edu/kundaje/oak/projects/neuro-variants/variant_position/credible/roussos_2024/variant_figures/roussos_2024.adolescence.Astrocyte/rs11039012_count_position.png",4,220,900)</f>
        <v/>
      </c>
      <c r="T568">
        <f>IMAGE("https://mitra.stanford.edu/kundaje/oak/projects/neuro-variants/variant_position/credible/roussos_2024/variant_figures/roussos_2024.adolescence.Astrocyte/rs11039012_profile_position.png",4,220,900)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0.226469116</v>
      </c>
      <c r="G569" t="n">
        <v>0.0132014146619616</v>
      </c>
      <c r="H569" t="n">
        <v>0.0199541146883477</v>
      </c>
      <c r="I569" t="n">
        <v>0.1454312020058814</v>
      </c>
      <c r="J569" t="n">
        <v>0.0438165741922083</v>
      </c>
      <c r="K569" t="n">
        <v>0.4841263112693813</v>
      </c>
      <c r="L569" t="b">
        <v>1</v>
      </c>
      <c r="M569" t="b">
        <v>0</v>
      </c>
      <c r="N569" t="inlineStr">
        <is>
          <t>alt</t>
        </is>
      </c>
      <c r="O569" t="n">
        <v>10</v>
      </c>
      <c r="P569" t="n">
        <v>0.001527</v>
      </c>
      <c r="Q569" t="n">
        <v>10</v>
      </c>
      <c r="R569" t="n">
        <v>0.06018</v>
      </c>
      <c r="S569">
        <f>IMAGE("https://mitra.stanford.edu/kundaje/oak/projects/neuro-variants/variant_position/credible/roussos_2024/variant_figures/roussos_2024.adolescence.Astrocyte/rs12273360_count_position.png",4,220,900)</f>
        <v/>
      </c>
      <c r="T569">
        <f>IMAGE("https://mitra.stanford.edu/kundaje/oak/projects/neuro-variants/variant_position/credible/roussos_2024/variant_figures/roussos_2024.adolescence.Astrocyte/rs12273360_profile_position.png",4,220,900)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0.006150702496</v>
      </c>
      <c r="G570" t="n">
        <v>0.8046723814560914</v>
      </c>
      <c r="H570" t="n">
        <v>0.0188573513760614</v>
      </c>
      <c r="I570" t="n">
        <v>0.1670821043211095</v>
      </c>
      <c r="J570" t="n">
        <v>0.0106348099575704</v>
      </c>
      <c r="K570" t="n">
        <v>0.668585749988109</v>
      </c>
      <c r="L570" t="b">
        <v>0</v>
      </c>
      <c r="M570" t="b">
        <v>0</v>
      </c>
      <c r="N570" t="inlineStr">
        <is>
          <t>alt</t>
        </is>
      </c>
      <c r="O570" t="n">
        <v>10</v>
      </c>
      <c r="P570" t="n">
        <v>0.00885</v>
      </c>
      <c r="Q570" t="n">
        <v>15</v>
      </c>
      <c r="R570" t="n">
        <v>0.03265</v>
      </c>
      <c r="S570">
        <f>IMAGE("https://mitra.stanford.edu/kundaje/oak/projects/neuro-variants/variant_position/credible/roussos_2024/variant_figures/roussos_2024.adolescence.Astrocyte/rs61898529_count_position.png",4,220,900)</f>
        <v/>
      </c>
      <c r="T570">
        <f>IMAGE("https://mitra.stanford.edu/kundaje/oak/projects/neuro-variants/variant_position/credible/roussos_2024/variant_figures/roussos_2024.adolescence.Astrocyte/rs61898529_profile_position.png",4,220,900)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-0.0124206869</v>
      </c>
      <c r="G571" t="n">
        <v>0.5906294581816014</v>
      </c>
      <c r="H571" t="n">
        <v>0.0122875916453406</v>
      </c>
      <c r="I571" t="n">
        <v>0.5294894649054928</v>
      </c>
      <c r="J571" t="n">
        <v>0.451046642732101</v>
      </c>
      <c r="K571" t="n">
        <v>0.0699057521138685</v>
      </c>
      <c r="L571" t="b">
        <v>0</v>
      </c>
      <c r="M571" t="b">
        <v>0</v>
      </c>
      <c r="N571" t="inlineStr">
        <is>
          <t>ref</t>
        </is>
      </c>
      <c r="O571" t="n">
        <v>100</v>
      </c>
      <c r="P571" t="n">
        <v>0.0336</v>
      </c>
      <c r="Q571" t="n">
        <v>100</v>
      </c>
      <c r="R571" t="n">
        <v>0.2913</v>
      </c>
      <c r="S571">
        <f>IMAGE("https://mitra.stanford.edu/kundaje/oak/projects/neuro-variants/variant_position/credible/roussos_2024/variant_figures/roussos_2024.adolescence.Astrocyte/rs7128102_count_position.png",4,220,900)</f>
        <v/>
      </c>
      <c r="T571">
        <f>IMAGE("https://mitra.stanford.edu/kundaje/oak/projects/neuro-variants/variant_position/credible/roussos_2024/variant_figures/roussos_2024.adolescence.Astrocyte/rs7128102_profile_position.png",4,220,900)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-0.0460952782</v>
      </c>
      <c r="G572" t="n">
        <v>0.2594526855799819</v>
      </c>
      <c r="H572" t="n">
        <v>0.0153178224640404</v>
      </c>
      <c r="I572" t="n">
        <v>0.3096949435896095</v>
      </c>
      <c r="J572" t="n">
        <v>0.2606073643295848</v>
      </c>
      <c r="K572" t="n">
        <v>0.1581046215342866</v>
      </c>
      <c r="L572" t="b">
        <v>0</v>
      </c>
      <c r="M572" t="b">
        <v>0</v>
      </c>
      <c r="N572" t="inlineStr">
        <is>
          <t>ref</t>
        </is>
      </c>
      <c r="O572" t="n">
        <v>15</v>
      </c>
      <c r="P572" t="n">
        <v>0.0007114000000000001</v>
      </c>
      <c r="Q572" t="n">
        <v>-70</v>
      </c>
      <c r="R572" t="n">
        <v>0.2417</v>
      </c>
      <c r="S572">
        <f>IMAGE("https://mitra.stanford.edu/kundaje/oak/projects/neuro-variants/variant_position/credible/roussos_2024/variant_figures/roussos_2024.adolescence.Astrocyte/rs7120113_count_position.png",4,220,900)</f>
        <v/>
      </c>
      <c r="T572">
        <f>IMAGE("https://mitra.stanford.edu/kundaje/oak/projects/neuro-variants/variant_position/credible/roussos_2024/variant_figures/roussos_2024.adolescence.Astrocyte/rs7120113_profile_position.png",4,220,900)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-0.0228748147</v>
      </c>
      <c r="G573" t="n">
        <v>0.5219882993926427</v>
      </c>
      <c r="H573" t="n">
        <v>0.06563423432973289</v>
      </c>
      <c r="I573" t="n">
        <v>0.0014158288894225</v>
      </c>
      <c r="J573" t="n">
        <v>0.1168434560721597</v>
      </c>
      <c r="K573" t="n">
        <v>0.2947920652690624</v>
      </c>
      <c r="L573" t="b">
        <v>1</v>
      </c>
      <c r="M573" t="b">
        <v>1</v>
      </c>
      <c r="N573" t="inlineStr">
        <is>
          <t>ref</t>
        </is>
      </c>
      <c r="O573" t="n">
        <v>-90</v>
      </c>
      <c r="P573" t="n">
        <v>0.2686</v>
      </c>
      <c r="Q573" t="n">
        <v>-40</v>
      </c>
      <c r="R573" t="n">
        <v>0.098</v>
      </c>
      <c r="S573">
        <f>IMAGE("https://mitra.stanford.edu/kundaje/oak/projects/neuro-variants/variant_position/credible/roussos_2024/variant_figures/roussos_2024.adolescence.Astrocyte/rs118012321_count_position.png",4,220,900)</f>
        <v/>
      </c>
      <c r="T573">
        <f>IMAGE("https://mitra.stanford.edu/kundaje/oak/projects/neuro-variants/variant_position/credible/roussos_2024/variant_figures/roussos_2024.adolescence.Astrocyte/rs118012321_profile_position.png",4,220,900)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-0.2780857819999999</v>
      </c>
      <c r="G574" t="n">
        <v>0.008061243374871</v>
      </c>
      <c r="H574" t="n">
        <v>0.0323374148724061</v>
      </c>
      <c r="I574" t="n">
        <v>0.0244848116081218</v>
      </c>
      <c r="J574" t="n">
        <v>0.2009190576506542</v>
      </c>
      <c r="K574" t="n">
        <v>0.2057365369471528</v>
      </c>
      <c r="L574" t="b">
        <v>1</v>
      </c>
      <c r="M574" t="b">
        <v>1</v>
      </c>
      <c r="N574" t="inlineStr">
        <is>
          <t>ref</t>
        </is>
      </c>
      <c r="O574" t="n">
        <v>-100</v>
      </c>
      <c r="P574" t="n">
        <v>0.00907</v>
      </c>
      <c r="Q574" t="n">
        <v>50</v>
      </c>
      <c r="R574" t="n">
        <v>0.12256</v>
      </c>
      <c r="S574">
        <f>IMAGE("https://mitra.stanford.edu/kundaje/oak/projects/neuro-variants/variant_position/credible/roussos_2024/variant_figures/roussos_2024.adolescence.Astrocyte/rs10838660_count_position.png",4,220,900)</f>
        <v/>
      </c>
      <c r="T574">
        <f>IMAGE("https://mitra.stanford.edu/kundaje/oak/projects/neuro-variants/variant_position/credible/roussos_2024/variant_figures/roussos_2024.adolescence.Astrocyte/rs10838660_profile_position.png",4,220,900)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0.142674166</v>
      </c>
      <c r="G575" t="n">
        <v>0.0406006154839846</v>
      </c>
      <c r="H575" t="n">
        <v>0.0251595672673409</v>
      </c>
      <c r="I575" t="n">
        <v>0.0626594821070247</v>
      </c>
      <c r="J575" t="n">
        <v>0.0141990327270569</v>
      </c>
      <c r="K575" t="n">
        <v>0.6329721058687573</v>
      </c>
      <c r="L575" t="b">
        <v>0</v>
      </c>
      <c r="M575" t="b">
        <v>0</v>
      </c>
      <c r="N575" t="inlineStr">
        <is>
          <t>alt</t>
        </is>
      </c>
      <c r="O575" t="n">
        <v>-75</v>
      </c>
      <c r="P575" t="n">
        <v>0.01506</v>
      </c>
      <c r="Q575" t="n">
        <v>-80</v>
      </c>
      <c r="R575" t="n">
        <v>0.3484</v>
      </c>
      <c r="S575">
        <f>IMAGE("https://mitra.stanford.edu/kundaje/oak/projects/neuro-variants/variant_position/credible/roussos_2024/variant_figures/roussos_2024.adolescence.Astrocyte/rs7121418_count_position.png",4,220,900)</f>
        <v/>
      </c>
      <c r="T575">
        <f>IMAGE("https://mitra.stanford.edu/kundaje/oak/projects/neuro-variants/variant_position/credible/roussos_2024/variant_figures/roussos_2024.adolescence.Astrocyte/rs7121418_profile_position.png",4,220,900)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0.1560593572</v>
      </c>
      <c r="G576" t="n">
        <v>0.0395778462213511</v>
      </c>
      <c r="H576" t="n">
        <v>0.0296508326065735</v>
      </c>
      <c r="I576" t="n">
        <v>0.0335263660238922</v>
      </c>
      <c r="J576" t="n">
        <v>0.0812064207934011</v>
      </c>
      <c r="K576" t="n">
        <v>0.3608010133185426</v>
      </c>
      <c r="L576" t="b">
        <v>0</v>
      </c>
      <c r="M576" t="b">
        <v>0</v>
      </c>
      <c r="N576" t="inlineStr">
        <is>
          <t>alt</t>
        </is>
      </c>
      <c r="O576" t="n">
        <v>100</v>
      </c>
      <c r="P576" t="n">
        <v>0.09357</v>
      </c>
      <c r="Q576" t="n">
        <v>-55</v>
      </c>
      <c r="R576" t="n">
        <v>0.0856</v>
      </c>
      <c r="S576">
        <f>IMAGE("https://mitra.stanford.edu/kundaje/oak/projects/neuro-variants/variant_position/credible/roussos_2024/variant_figures/roussos_2024.adolescence.Astrocyte/rs1631684_count_position.png",4,220,900)</f>
        <v/>
      </c>
      <c r="T576">
        <f>IMAGE("https://mitra.stanford.edu/kundaje/oak/projects/neuro-variants/variant_position/credible/roussos_2024/variant_figures/roussos_2024.adolescence.Astrocyte/rs1631684_profile_position.png",4,220,900)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-0.00105438734</v>
      </c>
      <c r="G577" t="n">
        <v>0.7904981847614685</v>
      </c>
      <c r="H577" t="n">
        <v>0.0112514412763333</v>
      </c>
      <c r="I577" t="n">
        <v>0.6331663190723725</v>
      </c>
      <c r="J577" t="n">
        <v>0.3752180814764264</v>
      </c>
      <c r="K577" t="n">
        <v>0.0976868393469955</v>
      </c>
      <c r="L577" t="b">
        <v>0</v>
      </c>
      <c r="M577" t="b">
        <v>0</v>
      </c>
      <c r="N577" t="inlineStr">
        <is>
          <t>ref</t>
        </is>
      </c>
      <c r="O577" t="n">
        <v>65</v>
      </c>
      <c r="P577" t="n">
        <v>0.0239</v>
      </c>
      <c r="Q577" t="n">
        <v>90</v>
      </c>
      <c r="R577" t="n">
        <v>0.169</v>
      </c>
      <c r="S577">
        <f>IMAGE("https://mitra.stanford.edu/kundaje/oak/projects/neuro-variants/variant_position/credible/roussos_2024/variant_figures/roussos_2024.adolescence.Astrocyte/rs499188_count_position.png",4,220,900)</f>
        <v/>
      </c>
      <c r="T577">
        <f>IMAGE("https://mitra.stanford.edu/kundaje/oak/projects/neuro-variants/variant_position/credible/roussos_2024/variant_figures/roussos_2024.adolescence.Astrocyte/rs499188_profile_position.png",4,220,900)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-0.042612227032</v>
      </c>
      <c r="G578" t="n">
        <v>0.3300538794726338</v>
      </c>
      <c r="H578" t="n">
        <v>0.0152421101452402</v>
      </c>
      <c r="I578" t="n">
        <v>0.3100638294824069</v>
      </c>
      <c r="J578" t="n">
        <v>0.8494273506809483</v>
      </c>
      <c r="K578" t="n">
        <v>0.0042768661704711</v>
      </c>
      <c r="L578" t="b">
        <v>0</v>
      </c>
      <c r="M578" t="b">
        <v>0</v>
      </c>
      <c r="N578" t="inlineStr">
        <is>
          <t>ref</t>
        </is>
      </c>
      <c r="O578" t="n">
        <v>100</v>
      </c>
      <c r="P578" t="n">
        <v>0.05792</v>
      </c>
      <c r="Q578" t="n">
        <v>100</v>
      </c>
      <c r="R578" t="n">
        <v>0.312</v>
      </c>
      <c r="S578">
        <f>IMAGE("https://mitra.stanford.edu/kundaje/oak/projects/neuro-variants/variant_position/credible/roussos_2024/variant_figures/roussos_2024.adolescence.Astrocyte/rs12146541_count_position.png",4,220,900)</f>
        <v/>
      </c>
      <c r="T578">
        <f>IMAGE("https://mitra.stanford.edu/kundaje/oak/projects/neuro-variants/variant_position/credible/roussos_2024/variant_figures/roussos_2024.adolescence.Astrocyte/rs12146541_profile_position.png",4,220,900)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-0.185078729</v>
      </c>
      <c r="G579" t="n">
        <v>0.0187536584885379</v>
      </c>
      <c r="H579" t="n">
        <v>0.0246451349066857</v>
      </c>
      <c r="I579" t="n">
        <v>0.0689040053508026</v>
      </c>
      <c r="J579" t="n">
        <v>0.7010829896448387</v>
      </c>
      <c r="K579" t="n">
        <v>0.0179629421208078</v>
      </c>
      <c r="L579" t="b">
        <v>1</v>
      </c>
      <c r="M579" t="b">
        <v>0</v>
      </c>
      <c r="N579" t="inlineStr">
        <is>
          <t>ref</t>
        </is>
      </c>
      <c r="O579" t="n">
        <v>-25</v>
      </c>
      <c r="P579" t="n">
        <v>0.004303</v>
      </c>
      <c r="Q579" t="n">
        <v>-25</v>
      </c>
      <c r="R579" t="n">
        <v>0.0635</v>
      </c>
      <c r="S579">
        <f>IMAGE("https://mitra.stanford.edu/kundaje/oak/projects/neuro-variants/variant_position/credible/roussos_2024/variant_figures/roussos_2024.adolescence.Astrocyte/rs35808061_count_position.png",4,220,900)</f>
        <v/>
      </c>
      <c r="T579">
        <f>IMAGE("https://mitra.stanford.edu/kundaje/oak/projects/neuro-variants/variant_position/credible/roussos_2024/variant_figures/roussos_2024.adolescence.Astrocyte/rs35808061_profile_position.png",4,220,900)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0.0755924976</v>
      </c>
      <c r="G580" t="n">
        <v>0.1272609177106508</v>
      </c>
      <c r="H580" t="n">
        <v>0.011852283513976</v>
      </c>
      <c r="I580" t="n">
        <v>0.5716223746388439</v>
      </c>
      <c r="J580" t="n">
        <v>0.0643711242322641</v>
      </c>
      <c r="K580" t="n">
        <v>0.4009207455425549</v>
      </c>
      <c r="L580" t="b">
        <v>0</v>
      </c>
      <c r="M580" t="b">
        <v>0</v>
      </c>
      <c r="N580" t="inlineStr">
        <is>
          <t>alt</t>
        </is>
      </c>
      <c r="O580" t="n">
        <v>-80</v>
      </c>
      <c r="P580" t="n">
        <v>0.007103</v>
      </c>
      <c r="Q580" t="n">
        <v>85</v>
      </c>
      <c r="R580" t="n">
        <v>0.05957</v>
      </c>
      <c r="S580">
        <f>IMAGE("https://mitra.stanford.edu/kundaje/oak/projects/neuro-variants/variant_position/credible/roussos_2024/variant_figures/roussos_2024.adolescence.Astrocyte/rs11570181_count_position.png",4,220,900)</f>
        <v/>
      </c>
      <c r="T580">
        <f>IMAGE("https://mitra.stanford.edu/kundaje/oak/projects/neuro-variants/variant_position/credible/roussos_2024/variant_figures/roussos_2024.adolescence.Astrocyte/rs11570181_profile_position.png",4,220,900)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-0.0121562531</v>
      </c>
      <c r="G581" t="n">
        <v>0.5958812831211835</v>
      </c>
      <c r="H581" t="n">
        <v>0.0446965264783881</v>
      </c>
      <c r="I581" t="n">
        <v>0.0062745815127551</v>
      </c>
      <c r="J581" t="n">
        <v>0.0401507284218021</v>
      </c>
      <c r="K581" t="n">
        <v>0.474583892977079</v>
      </c>
      <c r="L581" t="b">
        <v>1</v>
      </c>
      <c r="M581" t="b">
        <v>0</v>
      </c>
      <c r="N581" t="inlineStr">
        <is>
          <t>ref</t>
        </is>
      </c>
      <c r="O581" t="n">
        <v>35</v>
      </c>
      <c r="P581" t="n">
        <v>0.004395</v>
      </c>
      <c r="Q581" t="n">
        <v>40</v>
      </c>
      <c r="R581" t="n">
        <v>0.04532</v>
      </c>
      <c r="S581">
        <f>IMAGE("https://mitra.stanford.edu/kundaje/oak/projects/neuro-variants/variant_position/credible/roussos_2024/variant_figures/roussos_2024.adolescence.Astrocyte/rs1268667_count_position.png",4,220,900)</f>
        <v/>
      </c>
      <c r="T581">
        <f>IMAGE("https://mitra.stanford.edu/kundaje/oak/projects/neuro-variants/variant_position/credible/roussos_2024/variant_figures/roussos_2024.adolescence.Astrocyte/rs1268667_profile_position.png",4,220,900)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-0.1063199972</v>
      </c>
      <c r="G582" t="n">
        <v>0.0799894773117065</v>
      </c>
      <c r="H582" t="n">
        <v>0.0302038665137355</v>
      </c>
      <c r="I582" t="n">
        <v>0.0359291715520671</v>
      </c>
      <c r="J582" t="n">
        <v>0.5709232115835385</v>
      </c>
      <c r="K582" t="n">
        <v>0.0399020476861995</v>
      </c>
      <c r="L582" t="b">
        <v>0</v>
      </c>
      <c r="M582" t="b">
        <v>0</v>
      </c>
      <c r="N582" t="inlineStr">
        <is>
          <t>ref</t>
        </is>
      </c>
      <c r="O582" t="n">
        <v>-85</v>
      </c>
      <c r="P582" t="n">
        <v>0.003662</v>
      </c>
      <c r="Q582" t="n">
        <v>-85</v>
      </c>
      <c r="R582" t="n">
        <v>0.05957</v>
      </c>
      <c r="S582">
        <f>IMAGE("https://mitra.stanford.edu/kundaje/oak/projects/neuro-variants/variant_position/credible/roussos_2024/variant_figures/roussos_2024.adolescence.Astrocyte/rs4980505_count_position.png",4,220,900)</f>
        <v/>
      </c>
      <c r="T582">
        <f>IMAGE("https://mitra.stanford.edu/kundaje/oak/projects/neuro-variants/variant_position/credible/roussos_2024/variant_figures/roussos_2024.adolescence.Astrocyte/rs4980505_profile_position.png",4,220,900)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-0.1046261016</v>
      </c>
      <c r="G583" t="n">
        <v>0.0903041263721866</v>
      </c>
      <c r="H583" t="n">
        <v>0.0177394887469659</v>
      </c>
      <c r="I583" t="n">
        <v>0.2017468019057531</v>
      </c>
      <c r="J583" t="n">
        <v>0.8870849775984333</v>
      </c>
      <c r="K583" t="n">
        <v>0.0021637431861826</v>
      </c>
      <c r="L583" t="b">
        <v>0</v>
      </c>
      <c r="M583" t="b">
        <v>0</v>
      </c>
      <c r="N583" t="inlineStr">
        <is>
          <t>ref</t>
        </is>
      </c>
      <c r="O583" t="n">
        <v>-100</v>
      </c>
      <c r="P583" t="n">
        <v>0.02666</v>
      </c>
      <c r="Q583" t="n">
        <v>10</v>
      </c>
      <c r="R583" t="n">
        <v>0.0635</v>
      </c>
      <c r="S583">
        <f>IMAGE("https://mitra.stanford.edu/kundaje/oak/projects/neuro-variants/variant_position/credible/roussos_2024/variant_figures/roussos_2024.adolescence.Astrocyte/rs2014328_count_position.png",4,220,900)</f>
        <v/>
      </c>
      <c r="T583">
        <f>IMAGE("https://mitra.stanford.edu/kundaje/oak/projects/neuro-variants/variant_position/credible/roussos_2024/variant_figures/roussos_2024.adolescence.Astrocyte/rs2014328_profile_position.png",4,220,900)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-0.1889705984</v>
      </c>
      <c r="G584" t="n">
        <v>0.0227817061948271</v>
      </c>
      <c r="H584" t="n">
        <v>0.0207133588587033</v>
      </c>
      <c r="I584" t="n">
        <v>0.1263230629304908</v>
      </c>
      <c r="J584" t="n">
        <v>0.5474542325608996</v>
      </c>
      <c r="K584" t="n">
        <v>0.043253521262354</v>
      </c>
      <c r="L584" t="b">
        <v>0</v>
      </c>
      <c r="M584" t="b">
        <v>0</v>
      </c>
      <c r="N584" t="inlineStr">
        <is>
          <t>ref</t>
        </is>
      </c>
      <c r="O584" t="n">
        <v>-95</v>
      </c>
      <c r="P584" t="n">
        <v>0.00779</v>
      </c>
      <c r="Q584" t="n">
        <v>-40</v>
      </c>
      <c r="R584" t="n">
        <v>0.05322</v>
      </c>
      <c r="S584">
        <f>IMAGE("https://mitra.stanford.edu/kundaje/oak/projects/neuro-variants/variant_position/credible/roussos_2024/variant_figures/roussos_2024.adolescence.Astrocyte/rs478294_count_position.png",4,220,900)</f>
        <v/>
      </c>
      <c r="T584">
        <f>IMAGE("https://mitra.stanford.edu/kundaje/oak/projects/neuro-variants/variant_position/credible/roussos_2024/variant_figures/roussos_2024.adolescence.Astrocyte/rs478294_profile_position.png",4,220,900)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-0.379893792</v>
      </c>
      <c r="G585" t="n">
        <v>0.0034951289208574</v>
      </c>
      <c r="H585" t="n">
        <v>0.0595194879701915</v>
      </c>
      <c r="I585" t="n">
        <v>0.0020865505446901</v>
      </c>
      <c r="J585" t="n">
        <v>0.5784166097973473</v>
      </c>
      <c r="K585" t="n">
        <v>0.0377407182500147</v>
      </c>
      <c r="L585" t="b">
        <v>1</v>
      </c>
      <c r="M585" t="b">
        <v>1</v>
      </c>
      <c r="N585" t="inlineStr">
        <is>
          <t>ref</t>
        </is>
      </c>
      <c r="O585" t="n">
        <v>-20</v>
      </c>
      <c r="P585" t="n">
        <v>0.002043</v>
      </c>
      <c r="Q585" t="n">
        <v>-55</v>
      </c>
      <c r="R585" t="n">
        <v>0.021</v>
      </c>
      <c r="S585">
        <f>IMAGE("https://mitra.stanford.edu/kundaje/oak/projects/neuro-variants/variant_position/credible/roussos_2024/variant_figures/roussos_2024.adolescence.Astrocyte/rs540741_count_position.png",4,220,900)</f>
        <v/>
      </c>
      <c r="T585">
        <f>IMAGE("https://mitra.stanford.edu/kundaje/oak/projects/neuro-variants/variant_position/credible/roussos_2024/variant_figures/roussos_2024.adolescence.Astrocyte/rs540741_profile_position.png",4,220,900)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0.07714151599999999</v>
      </c>
      <c r="G586" t="n">
        <v>0.152070160510729</v>
      </c>
      <c r="H586" t="n">
        <v>0.0186858295049258</v>
      </c>
      <c r="I586" t="n">
        <v>0.1731405767357252</v>
      </c>
      <c r="J586" t="n">
        <v>0.6208913153131768</v>
      </c>
      <c r="K586" t="n">
        <v>0.029873799639724</v>
      </c>
      <c r="L586" t="b">
        <v>0</v>
      </c>
      <c r="M586" t="b">
        <v>0</v>
      </c>
      <c r="N586" t="inlineStr">
        <is>
          <t>alt</t>
        </is>
      </c>
      <c r="O586" t="n">
        <v>95</v>
      </c>
      <c r="P586" t="n">
        <v>0.01028</v>
      </c>
      <c r="Q586" t="n">
        <v>-90</v>
      </c>
      <c r="R586" t="n">
        <v>0.2123</v>
      </c>
      <c r="S586">
        <f>IMAGE("https://mitra.stanford.edu/kundaje/oak/projects/neuro-variants/variant_position/credible/roussos_2024/variant_figures/roussos_2024.adolescence.Astrocyte/rs562664_count_position.png",4,220,900)</f>
        <v/>
      </c>
      <c r="T586">
        <f>IMAGE("https://mitra.stanford.edu/kundaje/oak/projects/neuro-variants/variant_position/credible/roussos_2024/variant_figures/roussos_2024.adolescence.Astrocyte/rs562664_profile_position.png",4,220,900)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0.067332507</v>
      </c>
      <c r="G587" t="n">
        <v>0.1516234794060337</v>
      </c>
      <c r="H587" t="n">
        <v>0.0096390560306381</v>
      </c>
      <c r="I587" t="n">
        <v>0.7807935082191929</v>
      </c>
      <c r="J587" t="n">
        <v>0.1393421950568198</v>
      </c>
      <c r="K587" t="n">
        <v>0.2651564908692213</v>
      </c>
      <c r="L587" t="b">
        <v>0</v>
      </c>
      <c r="M587" t="b">
        <v>0</v>
      </c>
      <c r="N587" t="inlineStr">
        <is>
          <t>alt</t>
        </is>
      </c>
      <c r="O587" t="n">
        <v>35</v>
      </c>
      <c r="P587" t="n">
        <v>0.0139</v>
      </c>
      <c r="Q587" t="n">
        <v>-85</v>
      </c>
      <c r="R587" t="n">
        <v>0.308</v>
      </c>
      <c r="S587">
        <f>IMAGE("https://mitra.stanford.edu/kundaje/oak/projects/neuro-variants/variant_position/credible/roussos_2024/variant_figures/roussos_2024.adolescence.Astrocyte/rs4930355_count_position.png",4,220,900)</f>
        <v/>
      </c>
      <c r="T587">
        <f>IMAGE("https://mitra.stanford.edu/kundaje/oak/projects/neuro-variants/variant_position/credible/roussos_2024/variant_figures/roussos_2024.adolescence.Astrocyte/rs4930355_profile_position.png",4,220,900)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-0.0343023446</v>
      </c>
      <c r="G588" t="n">
        <v>0.3785937367749141</v>
      </c>
      <c r="H588" t="n">
        <v>0.0284742385580017</v>
      </c>
      <c r="I588" t="n">
        <v>0.0387130344312683</v>
      </c>
      <c r="J588" t="n">
        <v>0.0186296472124142</v>
      </c>
      <c r="K588" t="n">
        <v>0.5911770227825242</v>
      </c>
      <c r="L588" t="b">
        <v>0</v>
      </c>
      <c r="M588" t="b">
        <v>0</v>
      </c>
      <c r="N588" t="inlineStr">
        <is>
          <t>ref</t>
        </is>
      </c>
      <c r="O588" t="n">
        <v>-90</v>
      </c>
      <c r="P588" t="n">
        <v>0.026</v>
      </c>
      <c r="Q588" t="n">
        <v>-85</v>
      </c>
      <c r="R588" t="n">
        <v>0.1326</v>
      </c>
      <c r="S588">
        <f>IMAGE("https://mitra.stanford.edu/kundaje/oak/projects/neuro-variants/variant_position/credible/roussos_2024/variant_figures/roussos_2024.adolescence.Astrocyte/rs11227649_count_position.png",4,220,900)</f>
        <v/>
      </c>
      <c r="T588">
        <f>IMAGE("https://mitra.stanford.edu/kundaje/oak/projects/neuro-variants/variant_position/credible/roussos_2024/variant_figures/roussos_2024.adolescence.Astrocyte/rs11227649_profile_position.png",4,220,900)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-0.1182031308</v>
      </c>
      <c r="G589" t="n">
        <v>0.0563586818916188</v>
      </c>
      <c r="H589" t="n">
        <v>0.0136105864544546</v>
      </c>
      <c r="I589" t="n">
        <v>0.4011737966222182</v>
      </c>
      <c r="J589" t="n">
        <v>0.0532578702192682</v>
      </c>
      <c r="K589" t="n">
        <v>0.4328815940712917</v>
      </c>
      <c r="L589" t="b">
        <v>0</v>
      </c>
      <c r="M589" t="b">
        <v>0</v>
      </c>
      <c r="N589" t="inlineStr">
        <is>
          <t>ref</t>
        </is>
      </c>
      <c r="O589" t="n">
        <v>-100</v>
      </c>
      <c r="P589" t="n">
        <v>0.010796</v>
      </c>
      <c r="Q589" t="n">
        <v>-50</v>
      </c>
      <c r="R589" t="n">
        <v>0.0751</v>
      </c>
      <c r="S589">
        <f>IMAGE("https://mitra.stanford.edu/kundaje/oak/projects/neuro-variants/variant_position/credible/roussos_2024/variant_figures/roussos_2024.adolescence.Astrocyte/rs1253435_count_position.png",4,220,900)</f>
        <v/>
      </c>
      <c r="T589">
        <f>IMAGE("https://mitra.stanford.edu/kundaje/oak/projects/neuro-variants/variant_position/credible/roussos_2024/variant_figures/roussos_2024.adolescence.Astrocyte/rs1253435_profile_position.png",4,220,900)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-0.1664916719999999</v>
      </c>
      <c r="G590" t="n">
        <v>0.0299026583808266</v>
      </c>
      <c r="H590" t="n">
        <v>0.0264850024353915</v>
      </c>
      <c r="I590" t="n">
        <v>0.0506159717814903</v>
      </c>
      <c r="J590" t="n">
        <v>0.180506928166632</v>
      </c>
      <c r="K590" t="n">
        <v>0.224735604090701</v>
      </c>
      <c r="L590" t="b">
        <v>0</v>
      </c>
      <c r="M590" t="b">
        <v>0</v>
      </c>
      <c r="N590" t="inlineStr">
        <is>
          <t>ref</t>
        </is>
      </c>
      <c r="O590" t="n">
        <v>-20</v>
      </c>
      <c r="P590" t="n">
        <v>0.002611</v>
      </c>
      <c r="Q590" t="n">
        <v>5</v>
      </c>
      <c r="R590" t="n">
        <v>0.02509</v>
      </c>
      <c r="S590">
        <f>IMAGE("https://mitra.stanford.edu/kundaje/oak/projects/neuro-variants/variant_position/credible/roussos_2024/variant_figures/roussos_2024.adolescence.Astrocyte/rs112437913_count_position.png",4,220,900)</f>
        <v/>
      </c>
      <c r="T590">
        <f>IMAGE("https://mitra.stanford.edu/kundaje/oak/projects/neuro-variants/variant_position/credible/roussos_2024/variant_figures/roussos_2024.adolescence.Astrocyte/rs112437913_profile_position.png",4,220,900)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0.1643758208</v>
      </c>
      <c r="G591" t="n">
        <v>0.0360699587524891</v>
      </c>
      <c r="H591" t="n">
        <v>0.0176369954640739</v>
      </c>
      <c r="I591" t="n">
        <v>0.2046779704405799</v>
      </c>
      <c r="J591" t="n">
        <v>0.0532875411684419</v>
      </c>
      <c r="K591" t="n">
        <v>0.4270759529027707</v>
      </c>
      <c r="L591" t="b">
        <v>0</v>
      </c>
      <c r="M591" t="b">
        <v>0</v>
      </c>
      <c r="N591" t="inlineStr">
        <is>
          <t>alt</t>
        </is>
      </c>
      <c r="O591" t="n">
        <v>100</v>
      </c>
      <c r="P591" t="n">
        <v>0.0479</v>
      </c>
      <c r="Q591" t="n">
        <v>60</v>
      </c>
      <c r="R591" t="n">
        <v>0.3872</v>
      </c>
      <c r="S591">
        <f>IMAGE("https://mitra.stanford.edu/kundaje/oak/projects/neuro-variants/variant_position/credible/roussos_2024/variant_figures/roussos_2024.adolescence.Astrocyte/rs1893846_count_position.png",4,220,900)</f>
        <v/>
      </c>
      <c r="T591">
        <f>IMAGE("https://mitra.stanford.edu/kundaje/oak/projects/neuro-variants/variant_position/credible/roussos_2024/variant_figures/roussos_2024.adolescence.Astrocyte/rs1893846_profile_position.png",4,220,900)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0.0144459233199999</v>
      </c>
      <c r="G592" t="n">
        <v>0.5152192456260464</v>
      </c>
      <c r="H592" t="n">
        <v>0.0275574059132147</v>
      </c>
      <c r="I592" t="n">
        <v>0.0437780000876563</v>
      </c>
      <c r="J592" t="n">
        <v>0.0132688484704625</v>
      </c>
      <c r="K592" t="n">
        <v>0.6309925885892762</v>
      </c>
      <c r="L592" t="b">
        <v>0</v>
      </c>
      <c r="M592" t="b">
        <v>0</v>
      </c>
      <c r="N592" t="inlineStr">
        <is>
          <t>alt</t>
        </is>
      </c>
      <c r="O592" t="n">
        <v>100</v>
      </c>
      <c r="P592" t="n">
        <v>0.006363</v>
      </c>
      <c r="Q592" t="n">
        <v>100</v>
      </c>
      <c r="R592" t="n">
        <v>0.2029</v>
      </c>
      <c r="S592">
        <f>IMAGE("https://mitra.stanford.edu/kundaje/oak/projects/neuro-variants/variant_position/credible/roussos_2024/variant_figures/roussos_2024.adolescence.Astrocyte/rs2457246_count_position.png",4,220,900)</f>
        <v/>
      </c>
      <c r="T592">
        <f>IMAGE("https://mitra.stanford.edu/kundaje/oak/projects/neuro-variants/variant_position/credible/roussos_2024/variant_figures/roussos_2024.adolescence.Astrocyte/rs2457246_profile_position.png",4,220,900)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-0.0368089674</v>
      </c>
      <c r="G593" t="n">
        <v>0.3807634035417753</v>
      </c>
      <c r="H593" t="n">
        <v>0.0116972138358095</v>
      </c>
      <c r="I593" t="n">
        <v>0.587435695507539</v>
      </c>
      <c r="J593" t="n">
        <v>0.1473088449099486</v>
      </c>
      <c r="K593" t="n">
        <v>0.2567291474956679</v>
      </c>
      <c r="L593" t="b">
        <v>0</v>
      </c>
      <c r="M593" t="b">
        <v>0</v>
      </c>
      <c r="N593" t="inlineStr">
        <is>
          <t>ref</t>
        </is>
      </c>
      <c r="O593" t="n">
        <v>5</v>
      </c>
      <c r="P593" t="n">
        <v>0.0002196</v>
      </c>
      <c r="Q593" t="n">
        <v>95</v>
      </c>
      <c r="R593" t="n">
        <v>0.2166</v>
      </c>
      <c r="S593">
        <f>IMAGE("https://mitra.stanford.edu/kundaje/oak/projects/neuro-variants/variant_position/credible/roussos_2024/variant_figures/roussos_2024.adolescence.Astrocyte/rs591699_count_position.png",4,220,900)</f>
        <v/>
      </c>
      <c r="T593">
        <f>IMAGE("https://mitra.stanford.edu/kundaje/oak/projects/neuro-variants/variant_position/credible/roussos_2024/variant_figures/roussos_2024.adolescence.Astrocyte/rs591699_profile_position.png",4,220,900)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0.2098099407999999</v>
      </c>
      <c r="G594" t="n">
        <v>0.0180499173313122</v>
      </c>
      <c r="H594" t="n">
        <v>0.0259712296328963</v>
      </c>
      <c r="I594" t="n">
        <v>0.06251180541603291</v>
      </c>
      <c r="J594" t="n">
        <v>0.0089302139275435</v>
      </c>
      <c r="K594" t="n">
        <v>0.7376793835117448</v>
      </c>
      <c r="L594" t="b">
        <v>1</v>
      </c>
      <c r="M594" t="b">
        <v>0</v>
      </c>
      <c r="N594" t="inlineStr">
        <is>
          <t>alt</t>
        </is>
      </c>
      <c r="O594" t="n">
        <v>15</v>
      </c>
      <c r="P594" t="n">
        <v>0.0011215</v>
      </c>
      <c r="Q594" t="n">
        <v>100</v>
      </c>
      <c r="R594" t="n">
        <v>0.1643</v>
      </c>
      <c r="S594">
        <f>IMAGE("https://mitra.stanford.edu/kundaje/oak/projects/neuro-variants/variant_position/credible/roussos_2024/variant_figures/roussos_2024.adolescence.Astrocyte/rs12789884_count_position.png",4,220,900)</f>
        <v/>
      </c>
      <c r="T594">
        <f>IMAGE("https://mitra.stanford.edu/kundaje/oak/projects/neuro-variants/variant_position/credible/roussos_2024/variant_figures/roussos_2024.adolescence.Astrocyte/rs12789884_profile_position.png",4,220,900)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0.059589483</v>
      </c>
      <c r="G595" t="n">
        <v>0.2074150714895311</v>
      </c>
      <c r="H595" t="n">
        <v>0.0170674436193774</v>
      </c>
      <c r="I595" t="n">
        <v>0.2246988969430968</v>
      </c>
      <c r="J595" t="n">
        <v>0.0069659970922469</v>
      </c>
      <c r="K595" t="n">
        <v>0.7010341051274819</v>
      </c>
      <c r="L595" t="b">
        <v>0</v>
      </c>
      <c r="M595" t="b">
        <v>0</v>
      </c>
      <c r="N595" t="inlineStr">
        <is>
          <t>alt</t>
        </is>
      </c>
      <c r="O595" t="n">
        <v>85</v>
      </c>
      <c r="P595" t="n">
        <v>0.009169999999999999</v>
      </c>
      <c r="Q595" t="n">
        <v>-100</v>
      </c>
      <c r="R595" t="n">
        <v>0.05396</v>
      </c>
      <c r="S595">
        <f>IMAGE("https://mitra.stanford.edu/kundaje/oak/projects/neuro-variants/variant_position/credible/roussos_2024/variant_figures/roussos_2024.adolescence.Astrocyte/rs71464734_count_position.png",4,220,900)</f>
        <v/>
      </c>
      <c r="T595">
        <f>IMAGE("https://mitra.stanford.edu/kundaje/oak/projects/neuro-variants/variant_position/credible/roussos_2024/variant_figures/roussos_2024.adolescence.Astrocyte/rs71464734_profile_position.png",4,220,900)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-0.0172816082</v>
      </c>
      <c r="G596" t="n">
        <v>0.312350195051614</v>
      </c>
      <c r="H596" t="n">
        <v>0.0235434237970927</v>
      </c>
      <c r="I596" t="n">
        <v>0.0776548648876759</v>
      </c>
      <c r="J596" t="n">
        <v>0.0009272171616769</v>
      </c>
      <c r="K596" t="n">
        <v>0.8759173347082228</v>
      </c>
      <c r="L596" t="b">
        <v>0</v>
      </c>
      <c r="M596" t="b">
        <v>0</v>
      </c>
      <c r="N596" t="inlineStr">
        <is>
          <t>ref</t>
        </is>
      </c>
      <c r="O596" t="n">
        <v>-25</v>
      </c>
      <c r="P596" t="n">
        <v>0.00119</v>
      </c>
      <c r="Q596" t="n">
        <v>100</v>
      </c>
      <c r="R596" t="n">
        <v>0.1437</v>
      </c>
      <c r="S596">
        <f>IMAGE("https://mitra.stanford.edu/kundaje/oak/projects/neuro-variants/variant_position/credible/roussos_2024/variant_figures/roussos_2024.adolescence.Astrocyte/rs722354_count_position.png",4,220,900)</f>
        <v/>
      </c>
      <c r="T596">
        <f>IMAGE("https://mitra.stanford.edu/kundaje/oak/projects/neuro-variants/variant_position/credible/roussos_2024/variant_figures/roussos_2024.adolescence.Astrocyte/rs722354_profile_position.png",4,220,900)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-0.1112924268</v>
      </c>
      <c r="G597" t="n">
        <v>0.0682791907527896</v>
      </c>
      <c r="H597" t="n">
        <v>0.0117896657329564</v>
      </c>
      <c r="I597" t="n">
        <v>0.5730271104415482</v>
      </c>
      <c r="J597" t="n">
        <v>0.0101059252885499</v>
      </c>
      <c r="K597" t="n">
        <v>0.6574580473595089</v>
      </c>
      <c r="L597" t="b">
        <v>0</v>
      </c>
      <c r="M597" t="b">
        <v>0</v>
      </c>
      <c r="N597" t="inlineStr">
        <is>
          <t>ref</t>
        </is>
      </c>
      <c r="O597" t="n">
        <v>65</v>
      </c>
      <c r="P597" t="n">
        <v>0.00637</v>
      </c>
      <c r="Q597" t="n">
        <v>50</v>
      </c>
      <c r="R597" t="n">
        <v>0.0648</v>
      </c>
      <c r="S597">
        <f>IMAGE("https://mitra.stanford.edu/kundaje/oak/projects/neuro-variants/variant_position/credible/roussos_2024/variant_figures/roussos_2024.adolescence.Astrocyte/rs34793132_count_position.png",4,220,900)</f>
        <v/>
      </c>
      <c r="T597">
        <f>IMAGE("https://mitra.stanford.edu/kundaje/oak/projects/neuro-variants/variant_position/credible/roussos_2024/variant_figures/roussos_2024.adolescence.Astrocyte/rs34793132_profile_position.png",4,220,900)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0.0666567082</v>
      </c>
      <c r="G598" t="n">
        <v>0.1537228684177501</v>
      </c>
      <c r="H598" t="n">
        <v>0.0124559243832189</v>
      </c>
      <c r="I598" t="n">
        <v>0.5155606724404654</v>
      </c>
      <c r="J598" t="n">
        <v>0.0011549416965848</v>
      </c>
      <c r="K598" t="n">
        <v>0.8871145999179479</v>
      </c>
      <c r="L598" t="b">
        <v>0</v>
      </c>
      <c r="M598" t="b">
        <v>0</v>
      </c>
      <c r="N598" t="inlineStr">
        <is>
          <t>alt</t>
        </is>
      </c>
      <c r="O598" t="n">
        <v>-80</v>
      </c>
      <c r="P598" t="n">
        <v>0.01979</v>
      </c>
      <c r="Q598" t="n">
        <v>-100</v>
      </c>
      <c r="R598" t="n">
        <v>0.11743</v>
      </c>
      <c r="S598">
        <f>IMAGE("https://mitra.stanford.edu/kundaje/oak/projects/neuro-variants/variant_position/credible/roussos_2024/variant_figures/roussos_2024.adolescence.Astrocyte/rs59832858_count_position.png",4,220,900)</f>
        <v/>
      </c>
      <c r="T598">
        <f>IMAGE("https://mitra.stanford.edu/kundaje/oak/projects/neuro-variants/variant_position/credible/roussos_2024/variant_figures/roussos_2024.adolescence.Astrocyte/rs59832858_profile_position.png",4,220,900)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-0.2232606559999999</v>
      </c>
      <c r="G599" t="n">
        <v>0.0145191443700273</v>
      </c>
      <c r="H599" t="n">
        <v>0.0492583742271054</v>
      </c>
      <c r="I599" t="n">
        <v>0.0049177835902723</v>
      </c>
      <c r="J599" t="n">
        <v>0.1228889119662937</v>
      </c>
      <c r="K599" t="n">
        <v>0.2908810853072109</v>
      </c>
      <c r="L599" t="b">
        <v>1</v>
      </c>
      <c r="M599" t="b">
        <v>1</v>
      </c>
      <c r="N599" t="inlineStr">
        <is>
          <t>ref</t>
        </is>
      </c>
      <c r="O599" t="n">
        <v>85</v>
      </c>
      <c r="P599" t="n">
        <v>0.02454</v>
      </c>
      <c r="Q599" t="n">
        <v>65</v>
      </c>
      <c r="R599" t="n">
        <v>0.2266</v>
      </c>
      <c r="S599">
        <f>IMAGE("https://mitra.stanford.edu/kundaje/oak/projects/neuro-variants/variant_position/credible/roussos_2024/variant_figures/roussos_2024.adolescence.Astrocyte/rs7927714_count_position.png",4,220,900)</f>
        <v/>
      </c>
      <c r="T599">
        <f>IMAGE("https://mitra.stanford.edu/kundaje/oak/projects/neuro-variants/variant_position/credible/roussos_2024/variant_figures/roussos_2024.adolescence.Astrocyte/rs7927714_profile_position.png",4,220,900)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0.0013352784799999</v>
      </c>
      <c r="G600" t="n">
        <v>0.8536841197404059</v>
      </c>
      <c r="H600" t="n">
        <v>0.0220041514919708</v>
      </c>
      <c r="I600" t="n">
        <v>0.1016900071205095</v>
      </c>
      <c r="J600" t="n">
        <v>0.0300002967094916</v>
      </c>
      <c r="K600" t="n">
        <v>0.5387312473952932</v>
      </c>
      <c r="L600" t="b">
        <v>0</v>
      </c>
      <c r="M600" t="b">
        <v>0</v>
      </c>
      <c r="N600" t="inlineStr">
        <is>
          <t>alt</t>
        </is>
      </c>
      <c r="O600" t="n">
        <v>85</v>
      </c>
      <c r="P600" t="n">
        <v>0.01242</v>
      </c>
      <c r="Q600" t="n">
        <v>-100</v>
      </c>
      <c r="R600" t="n">
        <v>0.063</v>
      </c>
      <c r="S600">
        <f>IMAGE("https://mitra.stanford.edu/kundaje/oak/projects/neuro-variants/variant_position/credible/roussos_2024/variant_figures/roussos_2024.adolescence.Astrocyte/rs11226433_count_position.png",4,220,900)</f>
        <v/>
      </c>
      <c r="T600">
        <f>IMAGE("https://mitra.stanford.edu/kundaje/oak/projects/neuro-variants/variant_position/credible/roussos_2024/variant_figures/roussos_2024.adolescence.Astrocyte/rs11226433_profile_position.png",4,220,900)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0.0643651022</v>
      </c>
      <c r="G601" t="n">
        <v>0.1651487835651112</v>
      </c>
      <c r="H601" t="n">
        <v>0.0177933946716702</v>
      </c>
      <c r="I601" t="n">
        <v>0.1973173770761092</v>
      </c>
      <c r="J601" t="n">
        <v>0.2248939263567041</v>
      </c>
      <c r="K601" t="n">
        <v>0.1828624511395471</v>
      </c>
      <c r="L601" t="b">
        <v>0</v>
      </c>
      <c r="M601" t="b">
        <v>0</v>
      </c>
      <c r="N601" t="inlineStr">
        <is>
          <t>alt</t>
        </is>
      </c>
      <c r="O601" t="n">
        <v>-100</v>
      </c>
      <c r="P601" t="n">
        <v>0.04388</v>
      </c>
      <c r="Q601" t="n">
        <v>-100</v>
      </c>
      <c r="R601" t="n">
        <v>0.3013</v>
      </c>
      <c r="S601">
        <f>IMAGE("https://mitra.stanford.edu/kundaje/oak/projects/neuro-variants/variant_position/credible/roussos_2024/variant_figures/roussos_2024.adolescence.Astrocyte/rs10895711_count_position.png",4,220,900)</f>
        <v/>
      </c>
      <c r="T601">
        <f>IMAGE("https://mitra.stanford.edu/kundaje/oak/projects/neuro-variants/variant_position/credible/roussos_2024/variant_figures/roussos_2024.adolescence.Astrocyte/rs10895711_profile_position.png",4,220,900)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-0.0455743109999999</v>
      </c>
      <c r="G602" t="n">
        <v>0.277033641340941</v>
      </c>
      <c r="H602" t="n">
        <v>0.0103636485433514</v>
      </c>
      <c r="I602" t="n">
        <v>0.7185350459321401</v>
      </c>
      <c r="J602" t="n">
        <v>0.000126101533988</v>
      </c>
      <c r="K602" t="n">
        <v>0.9713374441390992</v>
      </c>
      <c r="L602" t="b">
        <v>0</v>
      </c>
      <c r="M602" t="b">
        <v>0</v>
      </c>
      <c r="N602" t="inlineStr">
        <is>
          <t>ref</t>
        </is>
      </c>
      <c r="O602" t="n">
        <v>-100</v>
      </c>
      <c r="P602" t="n">
        <v>0.03552</v>
      </c>
      <c r="Q602" t="n">
        <v>-90</v>
      </c>
      <c r="R602" t="n">
        <v>0.1145</v>
      </c>
      <c r="S602">
        <f>IMAGE("https://mitra.stanford.edu/kundaje/oak/projects/neuro-variants/variant_position/credible/roussos_2024/variant_figures/roussos_2024.adolescence.Astrocyte/rs12418899_count_position.png",4,220,900)</f>
        <v/>
      </c>
      <c r="T602">
        <f>IMAGE("https://mitra.stanford.edu/kundaje/oak/projects/neuro-variants/variant_position/credible/roussos_2024/variant_figures/roussos_2024.adolescence.Astrocyte/rs12418899_profile_position.png",4,220,900)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-0.002479527306</v>
      </c>
      <c r="G603" t="n">
        <v>0.7393216122471856</v>
      </c>
      <c r="H603" t="n">
        <v>0.0232721027191436</v>
      </c>
      <c r="I603" t="n">
        <v>0.0818951571749984</v>
      </c>
      <c r="J603" t="n">
        <v>0.1402085867726908</v>
      </c>
      <c r="K603" t="n">
        <v>0.2635665677985062</v>
      </c>
      <c r="L603" t="b">
        <v>0</v>
      </c>
      <c r="M603" t="b">
        <v>0</v>
      </c>
      <c r="N603" t="inlineStr">
        <is>
          <t>ref</t>
        </is>
      </c>
      <c r="O603" t="n">
        <v>-90</v>
      </c>
      <c r="P603" t="n">
        <v>0.0465</v>
      </c>
      <c r="Q603" t="n">
        <v>-85</v>
      </c>
      <c r="R603" t="n">
        <v>0.2622</v>
      </c>
      <c r="S603">
        <f>IMAGE("https://mitra.stanford.edu/kundaje/oak/projects/neuro-variants/variant_position/credible/roussos_2024/variant_figures/roussos_2024.adolescence.Astrocyte/rs16894_count_position.png",4,220,900)</f>
        <v/>
      </c>
      <c r="T603">
        <f>IMAGE("https://mitra.stanford.edu/kundaje/oak/projects/neuro-variants/variant_position/credible/roussos_2024/variant_figures/roussos_2024.adolescence.Astrocyte/rs16894_profile_position.png",4,220,900)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-0.01352636474</v>
      </c>
      <c r="G604" t="n">
        <v>0.3506596785385135</v>
      </c>
      <c r="H604" t="n">
        <v>0.0132671898563301</v>
      </c>
      <c r="I604" t="n">
        <v>0.4414588492746603</v>
      </c>
      <c r="J604" t="n">
        <v>0.0523091416194403</v>
      </c>
      <c r="K604" t="n">
        <v>0.4261866234457249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0.02138</v>
      </c>
      <c r="Q604" t="n">
        <v>85</v>
      </c>
      <c r="R604" t="n">
        <v>0.02173</v>
      </c>
      <c r="S604">
        <f>IMAGE("https://mitra.stanford.edu/kundaje/oak/projects/neuro-variants/variant_position/credible/roussos_2024/variant_figures/roussos_2024.adolescence.Astrocyte/rs10895715_count_position.png",4,220,900)</f>
        <v/>
      </c>
      <c r="T604">
        <f>IMAGE("https://mitra.stanford.edu/kundaje/oak/projects/neuro-variants/variant_position/credible/roussos_2024/variant_figures/roussos_2024.adolescence.Astrocyte/rs10895715_profile_position.png",4,220,900)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-0.028182158</v>
      </c>
      <c r="G605" t="n">
        <v>0.3935696769700819</v>
      </c>
      <c r="H605" t="n">
        <v>0.0117484353534778</v>
      </c>
      <c r="I605" t="n">
        <v>0.5779372480763922</v>
      </c>
      <c r="J605" t="n">
        <v>0.0002329169510132</v>
      </c>
      <c r="K605" t="n">
        <v>0.9513075723285797</v>
      </c>
      <c r="L605" t="b">
        <v>0</v>
      </c>
      <c r="M605" t="b">
        <v>0</v>
      </c>
      <c r="N605" t="inlineStr">
        <is>
          <t>ref</t>
        </is>
      </c>
      <c r="O605" t="n">
        <v>0</v>
      </c>
      <c r="P605" t="n">
        <v>0</v>
      </c>
      <c r="Q605" t="n">
        <v>85</v>
      </c>
      <c r="R605" t="n">
        <v>0.1237</v>
      </c>
      <c r="S605">
        <f>IMAGE("https://mitra.stanford.edu/kundaje/oak/projects/neuro-variants/variant_position/credible/roussos_2024/variant_figures/roussos_2024.adolescence.Astrocyte/rs1147010_count_position.png",4,220,900)</f>
        <v/>
      </c>
      <c r="T605">
        <f>IMAGE("https://mitra.stanford.edu/kundaje/oak/projects/neuro-variants/variant_position/credible/roussos_2024/variant_figures/roussos_2024.adolescence.Astrocyte/rs1147010_profile_position.png",4,220,900)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-0.0075174512</v>
      </c>
      <c r="G606" t="n">
        <v>0.562726775520019</v>
      </c>
      <c r="H606" t="n">
        <v>0.0196714305974626</v>
      </c>
      <c r="I606" t="n">
        <v>0.1432933205712222</v>
      </c>
      <c r="J606" t="n">
        <v>0.0177921846719876</v>
      </c>
      <c r="K606" t="n">
        <v>0.5968201235197493</v>
      </c>
      <c r="L606" t="b">
        <v>0</v>
      </c>
      <c r="M606" t="b">
        <v>0</v>
      </c>
      <c r="N606" t="inlineStr">
        <is>
          <t>ref</t>
        </is>
      </c>
      <c r="O606" t="n">
        <v>90</v>
      </c>
      <c r="P606" t="n">
        <v>0.01499</v>
      </c>
      <c r="Q606" t="n">
        <v>85</v>
      </c>
      <c r="R606" t="n">
        <v>0.1633</v>
      </c>
      <c r="S606">
        <f>IMAGE("https://mitra.stanford.edu/kundaje/oak/projects/neuro-variants/variant_position/credible/roussos_2024/variant_figures/roussos_2024.adolescence.Astrocyte/rs72972953_count_position.png",4,220,900)</f>
        <v/>
      </c>
      <c r="T606">
        <f>IMAGE("https://mitra.stanford.edu/kundaje/oak/projects/neuro-variants/variant_position/credible/roussos_2024/variant_figures/roussos_2024.adolescence.Astrocyte/rs72972953_profile_position.png",4,220,900)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-0.008659491280000001</v>
      </c>
      <c r="G607" t="n">
        <v>0.7617155575579572</v>
      </c>
      <c r="H607" t="n">
        <v>0.0236956511734785</v>
      </c>
      <c r="I607" t="n">
        <v>0.0770868547018298</v>
      </c>
      <c r="J607" t="n">
        <v>0.0033283387235557</v>
      </c>
      <c r="K607" t="n">
        <v>0.7908355731055635</v>
      </c>
      <c r="L607" t="b">
        <v>0</v>
      </c>
      <c r="M607" t="b">
        <v>0</v>
      </c>
      <c r="N607" t="inlineStr">
        <is>
          <t>ref</t>
        </is>
      </c>
      <c r="O607" t="n">
        <v>95</v>
      </c>
      <c r="P607" t="n">
        <v>0.04932</v>
      </c>
      <c r="Q607" t="n">
        <v>0</v>
      </c>
      <c r="R607" t="n">
        <v>0</v>
      </c>
      <c r="S607">
        <f>IMAGE("https://mitra.stanford.edu/kundaje/oak/projects/neuro-variants/variant_position/credible/roussos_2024/variant_figures/roussos_2024.adolescence.Astrocyte/rs6591097_count_position.png",4,220,900)</f>
        <v/>
      </c>
      <c r="T607">
        <f>IMAGE("https://mitra.stanford.edu/kundaje/oak/projects/neuro-variants/variant_position/credible/roussos_2024/variant_figures/roussos_2024.adolescence.Astrocyte/rs6591097_profile_position.png",4,220,900)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0.08003381</v>
      </c>
      <c r="G608" t="n">
        <v>0.1478602524276013</v>
      </c>
      <c r="H608" t="n">
        <v>0.0197844728516222</v>
      </c>
      <c r="I608" t="n">
        <v>0.1496011125041817</v>
      </c>
      <c r="J608" t="n">
        <v>0.0071825950212146</v>
      </c>
      <c r="K608" t="n">
        <v>0.7041005281345397</v>
      </c>
      <c r="L608" t="b">
        <v>0</v>
      </c>
      <c r="M608" t="b">
        <v>0</v>
      </c>
      <c r="N608" t="inlineStr">
        <is>
          <t>alt</t>
        </is>
      </c>
      <c r="O608" t="n">
        <v>0</v>
      </c>
      <c r="P608" t="n">
        <v>0</v>
      </c>
      <c r="Q608" t="n">
        <v>0</v>
      </c>
      <c r="R608" t="n">
        <v>0</v>
      </c>
      <c r="S608">
        <f>IMAGE("https://mitra.stanford.edu/kundaje/oak/projects/neuro-variants/variant_position/credible/roussos_2024/variant_figures/roussos_2024.adolescence.Astrocyte/rs1144403_count_position.png",4,220,900)</f>
        <v/>
      </c>
      <c r="T608">
        <f>IMAGE("https://mitra.stanford.edu/kundaje/oak/projects/neuro-variants/variant_position/credible/roussos_2024/variant_figures/roussos_2024.adolescence.Astrocyte/rs1144403_profile_position.png",4,220,900)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-0.1729614868</v>
      </c>
      <c r="G609" t="n">
        <v>0.0328838480275577</v>
      </c>
      <c r="H609" t="n">
        <v>0.0142929778270024</v>
      </c>
      <c r="I609" t="n">
        <v>0.3694082101389428</v>
      </c>
      <c r="J609" t="n">
        <v>0.3014516511883215</v>
      </c>
      <c r="K609" t="n">
        <v>0.1328969209132995</v>
      </c>
      <c r="L609" t="b">
        <v>0</v>
      </c>
      <c r="M609" t="b">
        <v>0</v>
      </c>
      <c r="N609" t="inlineStr">
        <is>
          <t>ref</t>
        </is>
      </c>
      <c r="O609" t="n">
        <v>90</v>
      </c>
      <c r="P609" t="n">
        <v>0.01416</v>
      </c>
      <c r="Q609" t="n">
        <v>75</v>
      </c>
      <c r="R609" t="n">
        <v>0.04688</v>
      </c>
      <c r="S609">
        <f>IMAGE("https://mitra.stanford.edu/kundaje/oak/projects/neuro-variants/variant_position/credible/roussos_2024/variant_figures/roussos_2024.adolescence.Astrocyte/rs1529338_count_position.png",4,220,900)</f>
        <v/>
      </c>
      <c r="T609">
        <f>IMAGE("https://mitra.stanford.edu/kundaje/oak/projects/neuro-variants/variant_position/credible/roussos_2024/variant_figures/roussos_2024.adolescence.Astrocyte/rs1529338_profile_position.png",4,220,900)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-0.0069383433</v>
      </c>
      <c r="G610" t="n">
        <v>0.82225361977486</v>
      </c>
      <c r="H610" t="n">
        <v>0.0204978876888923</v>
      </c>
      <c r="I610" t="n">
        <v>0.12587503050364</v>
      </c>
      <c r="J610" t="n">
        <v>0.0626657864285077</v>
      </c>
      <c r="K610" t="n">
        <v>0.3982724709934302</v>
      </c>
      <c r="L610" t="b">
        <v>0</v>
      </c>
      <c r="M610" t="b">
        <v>0</v>
      </c>
      <c r="N610" t="inlineStr">
        <is>
          <t>ref</t>
        </is>
      </c>
      <c r="O610" t="n">
        <v>-95</v>
      </c>
      <c r="P610" t="n">
        <v>0.03607</v>
      </c>
      <c r="Q610" t="n">
        <v>95</v>
      </c>
      <c r="R610" t="n">
        <v>0.04083</v>
      </c>
      <c r="S610">
        <f>IMAGE("https://mitra.stanford.edu/kundaje/oak/projects/neuro-variants/variant_position/credible/roussos_2024/variant_figures/roussos_2024.adolescence.Astrocyte/rs4755059_count_position.png",4,220,900)</f>
        <v/>
      </c>
      <c r="T610">
        <f>IMAGE("https://mitra.stanford.edu/kundaje/oak/projects/neuro-variants/variant_position/credible/roussos_2024/variant_figures/roussos_2024.adolescence.Astrocyte/rs4755059_profile_position.png",4,220,900)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0.0447745711</v>
      </c>
      <c r="G611" t="n">
        <v>0.2838605057110163</v>
      </c>
      <c r="H611" t="n">
        <v>0.009109669275442701</v>
      </c>
      <c r="I611" t="n">
        <v>0.8445786376202626</v>
      </c>
      <c r="J611" t="n">
        <v>0.0218014716790789</v>
      </c>
      <c r="K611" t="n">
        <v>0.5800427741668983</v>
      </c>
      <c r="L611" t="b">
        <v>0</v>
      </c>
      <c r="M611" t="b">
        <v>0</v>
      </c>
      <c r="N611" t="inlineStr">
        <is>
          <t>alt</t>
        </is>
      </c>
      <c r="O611" t="n">
        <v>-45</v>
      </c>
      <c r="P611" t="n">
        <v>0.01517</v>
      </c>
      <c r="Q611" t="n">
        <v>100</v>
      </c>
      <c r="R611" t="n">
        <v>0.2152</v>
      </c>
      <c r="S611">
        <f>IMAGE("https://mitra.stanford.edu/kundaje/oak/projects/neuro-variants/variant_position/credible/roussos_2024/variant_figures/roussos_2024.adolescence.Astrocyte/rs2555136_count_position.png",4,220,900)</f>
        <v/>
      </c>
      <c r="T611">
        <f>IMAGE("https://mitra.stanford.edu/kundaje/oak/projects/neuro-variants/variant_position/credible/roussos_2024/variant_figures/roussos_2024.adolescence.Astrocyte/rs2555136_profile_position.png",4,220,900)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-0.003001341066</v>
      </c>
      <c r="G612" t="n">
        <v>0.8643571164861172</v>
      </c>
      <c r="H612" t="n">
        <v>0.0293509209717717</v>
      </c>
      <c r="I612" t="n">
        <v>0.0342183038279785</v>
      </c>
      <c r="J612" t="n">
        <v>0.0021118298074354</v>
      </c>
      <c r="K612" t="n">
        <v>0.8229756703366309</v>
      </c>
      <c r="L612" t="b">
        <v>0</v>
      </c>
      <c r="M612" t="b">
        <v>0</v>
      </c>
      <c r="N612" t="inlineStr">
        <is>
          <t>ref</t>
        </is>
      </c>
      <c r="O612" t="n">
        <v>100</v>
      </c>
      <c r="P612" t="n">
        <v>0.006924</v>
      </c>
      <c r="Q612" t="n">
        <v>25</v>
      </c>
      <c r="R612" t="n">
        <v>0.0525</v>
      </c>
      <c r="S612">
        <f>IMAGE("https://mitra.stanford.edu/kundaje/oak/projects/neuro-variants/variant_position/credible/roussos_2024/variant_figures/roussos_2024.adolescence.Astrocyte/rs7131576_count_position.png",4,220,900)</f>
        <v/>
      </c>
      <c r="T612">
        <f>IMAGE("https://mitra.stanford.edu/kundaje/oak/projects/neuro-variants/variant_position/credible/roussos_2024/variant_figures/roussos_2024.adolescence.Astrocyte/rs7131576_profile_position.png",4,220,900)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0.3841333119999999</v>
      </c>
      <c r="G613" t="n">
        <v>0.0032728235090748</v>
      </c>
      <c r="H613" t="n">
        <v>0.0408729771940504</v>
      </c>
      <c r="I613" t="n">
        <v>0.0097239054999102</v>
      </c>
      <c r="J613" t="n">
        <v>0.0960048066937661</v>
      </c>
      <c r="K613" t="n">
        <v>0.3304775990427451</v>
      </c>
      <c r="L613" t="b">
        <v>1</v>
      </c>
      <c r="M613" t="b">
        <v>1</v>
      </c>
      <c r="N613" t="inlineStr">
        <is>
          <t>alt</t>
        </is>
      </c>
      <c r="O613" t="n">
        <v>-80</v>
      </c>
      <c r="P613" t="n">
        <v>0.011185</v>
      </c>
      <c r="Q613" t="n">
        <v>60</v>
      </c>
      <c r="R613" t="n">
        <v>0.06152</v>
      </c>
      <c r="S613">
        <f>IMAGE("https://mitra.stanford.edu/kundaje/oak/projects/neuro-variants/variant_position/credible/roussos_2024/variant_figures/roussos_2024.adolescence.Astrocyte/rs1030395_count_position.png",4,220,900)</f>
        <v/>
      </c>
      <c r="T613">
        <f>IMAGE("https://mitra.stanford.edu/kundaje/oak/projects/neuro-variants/variant_position/credible/roussos_2024/variant_figures/roussos_2024.adolescence.Astrocyte/rs1030395_profile_position.png",4,220,900)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0.0123368284</v>
      </c>
      <c r="G614" t="n">
        <v>0.6830151126175992</v>
      </c>
      <c r="H614" t="n">
        <v>0.0349625638837641</v>
      </c>
      <c r="I614" t="n">
        <v>0.0169903289986907</v>
      </c>
      <c r="J614" t="n">
        <v>0.0090511230454261</v>
      </c>
      <c r="K614" t="n">
        <v>0.6891410817566249</v>
      </c>
      <c r="L614" t="b">
        <v>0</v>
      </c>
      <c r="M614" t="b">
        <v>0</v>
      </c>
      <c r="N614" t="inlineStr">
        <is>
          <t>alt</t>
        </is>
      </c>
      <c r="O614" t="n">
        <v>-60</v>
      </c>
      <c r="P614" t="n">
        <v>0.03165</v>
      </c>
      <c r="Q614" t="n">
        <v>65</v>
      </c>
      <c r="R614" t="n">
        <v>0.0316</v>
      </c>
      <c r="S614">
        <f>IMAGE("https://mitra.stanford.edu/kundaje/oak/projects/neuro-variants/variant_position/credible/roussos_2024/variant_figures/roussos_2024.adolescence.Astrocyte/rs10895736_count_position.png",4,220,900)</f>
        <v/>
      </c>
      <c r="T614">
        <f>IMAGE("https://mitra.stanford.edu/kundaje/oak/projects/neuro-variants/variant_position/credible/roussos_2024/variant_figures/roussos_2024.adolescence.Astrocyte/rs10895736_profile_position.png",4,220,900)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0.0158480467999999</v>
      </c>
      <c r="G615" t="n">
        <v>0.6104879523008029</v>
      </c>
      <c r="H615" t="n">
        <v>0.0242905650709969</v>
      </c>
      <c r="I615" t="n">
        <v>0.0699232604203066</v>
      </c>
      <c r="J615" t="n">
        <v>0.0100999910987151</v>
      </c>
      <c r="K615" t="n">
        <v>0.681394372703519</v>
      </c>
      <c r="L615" t="b">
        <v>0</v>
      </c>
      <c r="M615" t="b">
        <v>0</v>
      </c>
      <c r="N615" t="inlineStr">
        <is>
          <t>alt</t>
        </is>
      </c>
      <c r="O615" t="n">
        <v>-100</v>
      </c>
      <c r="P615" t="n">
        <v>0.0502</v>
      </c>
      <c r="Q615" t="n">
        <v>100</v>
      </c>
      <c r="R615" t="n">
        <v>0.0728</v>
      </c>
      <c r="S615">
        <f>IMAGE("https://mitra.stanford.edu/kundaje/oak/projects/neuro-variants/variant_position/credible/roussos_2024/variant_figures/roussos_2024.adolescence.Astrocyte/rs10895737_count_position.png",4,220,900)</f>
        <v/>
      </c>
      <c r="T615">
        <f>IMAGE("https://mitra.stanford.edu/kundaje/oak/projects/neuro-variants/variant_position/credible/roussos_2024/variant_figures/roussos_2024.adolescence.Astrocyte/rs10895737_profile_position.png",4,220,900)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-0.0319047942</v>
      </c>
      <c r="G616" t="n">
        <v>0.402618347509284</v>
      </c>
      <c r="H616" t="n">
        <v>0.0073020304007818</v>
      </c>
      <c r="I616" t="n">
        <v>0.950618942279286</v>
      </c>
      <c r="J616" t="n">
        <v>0.0006297658962109</v>
      </c>
      <c r="K616" t="n">
        <v>0.9055825347222816</v>
      </c>
      <c r="L616" t="b">
        <v>0</v>
      </c>
      <c r="M616" t="b">
        <v>0</v>
      </c>
      <c r="N616" t="inlineStr">
        <is>
          <t>ref</t>
        </is>
      </c>
      <c r="O616" t="n">
        <v>-100</v>
      </c>
      <c r="P616" t="n">
        <v>0.01515</v>
      </c>
      <c r="Q616" t="n">
        <v>-15</v>
      </c>
      <c r="R616" t="n">
        <v>0.02676</v>
      </c>
      <c r="S616">
        <f>IMAGE("https://mitra.stanford.edu/kundaje/oak/projects/neuro-variants/variant_position/credible/roussos_2024/variant_figures/roussos_2024.adolescence.Astrocyte/rs7947634_count_position.png",4,220,900)</f>
        <v/>
      </c>
      <c r="T616">
        <f>IMAGE("https://mitra.stanford.edu/kundaje/oak/projects/neuro-variants/variant_position/credible/roussos_2024/variant_figures/roussos_2024.adolescence.Astrocyte/rs7947634_profile_position.png",4,220,900)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0.02739033247</v>
      </c>
      <c r="G617" t="n">
        <v>0.4379181383715252</v>
      </c>
      <c r="H617" t="n">
        <v>0.0138290530236296</v>
      </c>
      <c r="I617" t="n">
        <v>0.4039409885279754</v>
      </c>
      <c r="J617" t="n">
        <v>0.1967287778536035</v>
      </c>
      <c r="K617" t="n">
        <v>0.207007366426942</v>
      </c>
      <c r="L617" t="b">
        <v>0</v>
      </c>
      <c r="M617" t="b">
        <v>0</v>
      </c>
      <c r="N617" t="inlineStr">
        <is>
          <t>alt</t>
        </is>
      </c>
      <c r="O617" t="n">
        <v>0</v>
      </c>
      <c r="P617" t="n">
        <v>0</v>
      </c>
      <c r="Q617" t="n">
        <v>-70</v>
      </c>
      <c r="R617" t="n">
        <v>0.2256</v>
      </c>
      <c r="S617">
        <f>IMAGE("https://mitra.stanford.edu/kundaje/oak/projects/neuro-variants/variant_position/credible/roussos_2024/variant_figures/roussos_2024.adolescence.Astrocyte/rs12576701_count_position.png",4,220,900)</f>
        <v/>
      </c>
      <c r="T617">
        <f>IMAGE("https://mitra.stanford.edu/kundaje/oak/projects/neuro-variants/variant_position/credible/roussos_2024/variant_figures/roussos_2024.adolescence.Astrocyte/rs12576701_profile_position.png",4,220,900)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-0.0218484049999999</v>
      </c>
      <c r="G618" t="n">
        <v>0.4438109662194039</v>
      </c>
      <c r="H618" t="n">
        <v>0.008133148267379899</v>
      </c>
      <c r="I618" t="n">
        <v>0.915923486680988</v>
      </c>
      <c r="J618" t="n">
        <v>0.0148287986232679</v>
      </c>
      <c r="K618" t="n">
        <v>0.6091246553192441</v>
      </c>
      <c r="L618" t="b">
        <v>0</v>
      </c>
      <c r="M618" t="b">
        <v>0</v>
      </c>
      <c r="N618" t="inlineStr">
        <is>
          <t>ref</t>
        </is>
      </c>
      <c r="O618" t="n">
        <v>100</v>
      </c>
      <c r="P618" t="n">
        <v>0.009339999999999999</v>
      </c>
      <c r="Q618" t="n">
        <v>-85</v>
      </c>
      <c r="R618" t="n">
        <v>0.03857</v>
      </c>
      <c r="S618">
        <f>IMAGE("https://mitra.stanford.edu/kundaje/oak/projects/neuro-variants/variant_position/credible/roussos_2024/variant_figures/roussos_2024.adolescence.Astrocyte/rs6589285_count_position.png",4,220,900)</f>
        <v/>
      </c>
      <c r="T618">
        <f>IMAGE("https://mitra.stanford.edu/kundaje/oak/projects/neuro-variants/variant_position/credible/roussos_2024/variant_figures/roussos_2024.adolescence.Astrocyte/rs6589285_profile_position.png",4,220,900)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-0.094926609</v>
      </c>
      <c r="G619" t="n">
        <v>0.0970111358135133</v>
      </c>
      <c r="H619" t="n">
        <v>0.0205332244075692</v>
      </c>
      <c r="I619" t="n">
        <v>0.1247583588973866</v>
      </c>
      <c r="J619" t="n">
        <v>0.0100510340325786</v>
      </c>
      <c r="K619" t="n">
        <v>0.6608433732551154</v>
      </c>
      <c r="L619" t="b">
        <v>0</v>
      </c>
      <c r="M619" t="b">
        <v>0</v>
      </c>
      <c r="N619" t="inlineStr">
        <is>
          <t>ref</t>
        </is>
      </c>
      <c r="O619" t="n">
        <v>15</v>
      </c>
      <c r="P619" t="n">
        <v>0.003792</v>
      </c>
      <c r="Q619" t="n">
        <v>50</v>
      </c>
      <c r="R619" t="n">
        <v>0.1091</v>
      </c>
      <c r="S619">
        <f>IMAGE("https://mitra.stanford.edu/kundaje/oak/projects/neuro-variants/variant_position/credible/roussos_2024/variant_figures/roussos_2024.adolescence.Astrocyte/rs4936065_count_position.png",4,220,900)</f>
        <v/>
      </c>
      <c r="T619">
        <f>IMAGE("https://mitra.stanford.edu/kundaje/oak/projects/neuro-variants/variant_position/credible/roussos_2024/variant_figures/roussos_2024.adolescence.Astrocyte/rs4936065_profile_position.png",4,220,900)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0.29014806</v>
      </c>
      <c r="G620" t="n">
        <v>0.0064640939920904</v>
      </c>
      <c r="H620" t="n">
        <v>0.0436566035707918</v>
      </c>
      <c r="I620" t="n">
        <v>0.0068149432593968</v>
      </c>
      <c r="J620" t="n">
        <v>0.1297503189627035</v>
      </c>
      <c r="K620" t="n">
        <v>0.2905682915680157</v>
      </c>
      <c r="L620" t="b">
        <v>1</v>
      </c>
      <c r="M620" t="b">
        <v>1</v>
      </c>
      <c r="N620" t="inlineStr">
        <is>
          <t>alt</t>
        </is>
      </c>
      <c r="O620" t="n">
        <v>-80</v>
      </c>
      <c r="P620" t="n">
        <v>0.00851</v>
      </c>
      <c r="Q620" t="n">
        <v>85</v>
      </c>
      <c r="R620" t="n">
        <v>0.08905</v>
      </c>
      <c r="S620">
        <f>IMAGE("https://mitra.stanford.edu/kundaje/oak/projects/neuro-variants/variant_position/credible/roussos_2024/variant_figures/roussos_2024.adolescence.Astrocyte/rs12419862_count_position.png",4,220,900)</f>
        <v/>
      </c>
      <c r="T620">
        <f>IMAGE("https://mitra.stanford.edu/kundaje/oak/projects/neuro-variants/variant_position/credible/roussos_2024/variant_figures/roussos_2024.adolescence.Astrocyte/rs12419862_profile_position.png",4,220,900)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0.0307291271199999</v>
      </c>
      <c r="G621" t="n">
        <v>0.4161934561282313</v>
      </c>
      <c r="H621" t="n">
        <v>0.0152795798078855</v>
      </c>
      <c r="I621" t="n">
        <v>0.3131116537123148</v>
      </c>
      <c r="J621" t="n">
        <v>0.0816440672937126</v>
      </c>
      <c r="K621" t="n">
        <v>0.3712092914680632</v>
      </c>
      <c r="L621" t="b">
        <v>0</v>
      </c>
      <c r="M621" t="b">
        <v>0</v>
      </c>
      <c r="N621" t="inlineStr">
        <is>
          <t>alt</t>
        </is>
      </c>
      <c r="O621" t="n">
        <v>-100</v>
      </c>
      <c r="P621" t="n">
        <v>0.01039</v>
      </c>
      <c r="Q621" t="n">
        <v>55</v>
      </c>
      <c r="R621" t="n">
        <v>0.08452999999999999</v>
      </c>
      <c r="S621">
        <f>IMAGE("https://mitra.stanford.edu/kundaje/oak/projects/neuro-variants/variant_position/credible/roussos_2024/variant_figures/roussos_2024.adolescence.Astrocyte/rs11214193_count_position.png",4,220,900)</f>
        <v/>
      </c>
      <c r="T621">
        <f>IMAGE("https://mitra.stanford.edu/kundaje/oak/projects/neuro-variants/variant_position/credible/roussos_2024/variant_figures/roussos_2024.adolescence.Astrocyte/rs11214193_profile_position.png",4,220,900)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0.023936022</v>
      </c>
      <c r="G622" t="n">
        <v>0.4829725652102682</v>
      </c>
      <c r="H622" t="n">
        <v>0.0106484641988909</v>
      </c>
      <c r="I622" t="n">
        <v>0.6850321258607651</v>
      </c>
      <c r="J622" t="n">
        <v>0.2154192505118238</v>
      </c>
      <c r="K622" t="n">
        <v>0.1915623294375442</v>
      </c>
      <c r="L622" t="b">
        <v>0</v>
      </c>
      <c r="M622" t="b">
        <v>0</v>
      </c>
      <c r="N622" t="inlineStr">
        <is>
          <t>alt</t>
        </is>
      </c>
      <c r="O622" t="n">
        <v>100</v>
      </c>
      <c r="P622" t="n">
        <v>0.00992</v>
      </c>
      <c r="Q622" t="n">
        <v>-35</v>
      </c>
      <c r="R622" t="n">
        <v>0.1032</v>
      </c>
      <c r="S622">
        <f>IMAGE("https://mitra.stanford.edu/kundaje/oak/projects/neuro-variants/variant_position/credible/roussos_2024/variant_figures/roussos_2024.adolescence.Astrocyte/rs11214222_count_position.png",4,220,900)</f>
        <v/>
      </c>
      <c r="T622">
        <f>IMAGE("https://mitra.stanford.edu/kundaje/oak/projects/neuro-variants/variant_position/credible/roussos_2024/variant_figures/roussos_2024.adolescence.Astrocyte/rs11214222_profile_position.png",4,220,900)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-0.2824046859999999</v>
      </c>
      <c r="G623" t="n">
        <v>0.009929609907671</v>
      </c>
      <c r="H623" t="n">
        <v>0.0319343802142457</v>
      </c>
      <c r="I623" t="n">
        <v>0.029455602426996</v>
      </c>
      <c r="J623" t="n">
        <v>0.1578242292970951</v>
      </c>
      <c r="K623" t="n">
        <v>0.2483113053757202</v>
      </c>
      <c r="L623" t="b">
        <v>1</v>
      </c>
      <c r="M623" t="b">
        <v>1</v>
      </c>
      <c r="N623" t="inlineStr">
        <is>
          <t>ref</t>
        </is>
      </c>
      <c r="O623" t="n">
        <v>40</v>
      </c>
      <c r="P623" t="n">
        <v>0.013115</v>
      </c>
      <c r="Q623" t="n">
        <v>10</v>
      </c>
      <c r="R623" t="n">
        <v>0.02344</v>
      </c>
      <c r="S623">
        <f>IMAGE("https://mitra.stanford.edu/kundaje/oak/projects/neuro-variants/variant_position/credible/roussos_2024/variant_figures/roussos_2024.adolescence.Astrocyte/rs12279124_count_position.png",4,220,900)</f>
        <v/>
      </c>
      <c r="T623">
        <f>IMAGE("https://mitra.stanford.edu/kundaje/oak/projects/neuro-variants/variant_position/credible/roussos_2024/variant_figures/roussos_2024.adolescence.Astrocyte/rs12279124_profile_position.png",4,220,900)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0.0174996389199999</v>
      </c>
      <c r="G624" t="n">
        <v>0.5327094763467063</v>
      </c>
      <c r="H624" t="n">
        <v>0.0158487205564094</v>
      </c>
      <c r="I624" t="n">
        <v>0.2802399819902145</v>
      </c>
      <c r="J624" t="n">
        <v>0.0314148592113461</v>
      </c>
      <c r="K624" t="n">
        <v>0.5192627371679437</v>
      </c>
      <c r="L624" t="b">
        <v>0</v>
      </c>
      <c r="M624" t="b">
        <v>0</v>
      </c>
      <c r="N624" t="inlineStr">
        <is>
          <t>alt</t>
        </is>
      </c>
      <c r="O624" t="n">
        <v>-35</v>
      </c>
      <c r="P624" t="n">
        <v>0.00467</v>
      </c>
      <c r="Q624" t="n">
        <v>-65</v>
      </c>
      <c r="R624" t="n">
        <v>0.1001</v>
      </c>
      <c r="S624">
        <f>IMAGE("https://mitra.stanford.edu/kundaje/oak/projects/neuro-variants/variant_position/credible/roussos_2024/variant_figures/roussos_2024.adolescence.Astrocyte/rs7946458_count_position.png",4,220,900)</f>
        <v/>
      </c>
      <c r="T624">
        <f>IMAGE("https://mitra.stanford.edu/kundaje/oak/projects/neuro-variants/variant_position/credible/roussos_2024/variant_figures/roussos_2024.adolescence.Astrocyte/rs7946458_profile_position.png",4,220,900)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0.0891724691999999</v>
      </c>
      <c r="G625" t="n">
        <v>0.147222331547881</v>
      </c>
      <c r="H625" t="n">
        <v>0.0432639933329126</v>
      </c>
      <c r="I625" t="n">
        <v>0.0087576934700105</v>
      </c>
      <c r="J625" t="n">
        <v>0.0004346794053941</v>
      </c>
      <c r="K625" t="n">
        <v>0.9296384160644106</v>
      </c>
      <c r="L625" t="b">
        <v>0</v>
      </c>
      <c r="M625" t="b">
        <v>0</v>
      </c>
      <c r="N625" t="inlineStr">
        <is>
          <t>alt</t>
        </is>
      </c>
      <c r="O625" t="n">
        <v>5</v>
      </c>
      <c r="P625" t="n">
        <v>0.00058</v>
      </c>
      <c r="Q625" t="n">
        <v>80</v>
      </c>
      <c r="R625" t="n">
        <v>0.09030000000000001</v>
      </c>
      <c r="S625">
        <f>IMAGE("https://mitra.stanford.edu/kundaje/oak/projects/neuro-variants/variant_position/credible/roussos_2024/variant_figures/roussos_2024.adolescence.Astrocyte/rs7118324_count_position.png",4,220,900)</f>
        <v/>
      </c>
      <c r="T625">
        <f>IMAGE("https://mitra.stanford.edu/kundaje/oak/projects/neuro-variants/variant_position/credible/roussos_2024/variant_figures/roussos_2024.adolescence.Astrocyte/rs7118324_profile_position.png",4,220,900)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0.1271592309999999</v>
      </c>
      <c r="G626" t="n">
        <v>0.0500285975309179</v>
      </c>
      <c r="H626" t="n">
        <v>0.0383669091954992</v>
      </c>
      <c r="I626" t="n">
        <v>0.0115081890959319</v>
      </c>
      <c r="J626" t="n">
        <v>0.3384787704358662</v>
      </c>
      <c r="K626" t="n">
        <v>0.1145044197670593</v>
      </c>
      <c r="L626" t="b">
        <v>1</v>
      </c>
      <c r="M626" t="b">
        <v>0</v>
      </c>
      <c r="N626" t="inlineStr">
        <is>
          <t>alt</t>
        </is>
      </c>
      <c r="O626" t="n">
        <v>5</v>
      </c>
      <c r="P626" t="n">
        <v>0.001404</v>
      </c>
      <c r="Q626" t="n">
        <v>100</v>
      </c>
      <c r="R626" t="n">
        <v>0.1221</v>
      </c>
      <c r="S626">
        <f>IMAGE("https://mitra.stanford.edu/kundaje/oak/projects/neuro-variants/variant_position/credible/roussos_2024/variant_figures/roussos_2024.adolescence.Astrocyte/rs12286447_count_position.png",4,220,900)</f>
        <v/>
      </c>
      <c r="T626">
        <f>IMAGE("https://mitra.stanford.edu/kundaje/oak/projects/neuro-variants/variant_position/credible/roussos_2024/variant_figures/roussos_2024.adolescence.Astrocyte/rs12286447_profile_position.png",4,220,900)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-0.120037938</v>
      </c>
      <c r="G627" t="n">
        <v>0.0492154937370049</v>
      </c>
      <c r="H627" t="n">
        <v>0.0437381822639564</v>
      </c>
      <c r="I627" t="n">
        <v>0.0082096798522719</v>
      </c>
      <c r="J627" t="n">
        <v>0.2433507402901818</v>
      </c>
      <c r="K627" t="n">
        <v>0.1678769259161887</v>
      </c>
      <c r="L627" t="b">
        <v>1</v>
      </c>
      <c r="M627" t="b">
        <v>1</v>
      </c>
      <c r="N627" t="inlineStr">
        <is>
          <t>ref</t>
        </is>
      </c>
      <c r="O627" t="n">
        <v>75</v>
      </c>
      <c r="P627" t="n">
        <v>0.009766</v>
      </c>
      <c r="Q627" t="n">
        <v>65</v>
      </c>
      <c r="R627" t="n">
        <v>0.08400000000000001</v>
      </c>
      <c r="S627">
        <f>IMAGE("https://mitra.stanford.edu/kundaje/oak/projects/neuro-variants/variant_position/credible/roussos_2024/variant_figures/roussos_2024.adolescence.Astrocyte/rs3781884_count_position.png",4,220,900)</f>
        <v/>
      </c>
      <c r="T627">
        <f>IMAGE("https://mitra.stanford.edu/kundaje/oak/projects/neuro-variants/variant_position/credible/roussos_2024/variant_figures/roussos_2024.adolescence.Astrocyte/rs3781884_profile_position.png",4,220,900)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-0.1040015008</v>
      </c>
      <c r="G628" t="n">
        <v>0.07420693713743499</v>
      </c>
      <c r="H628" t="n">
        <v>0.0138116100935774</v>
      </c>
      <c r="I628" t="n">
        <v>0.4049801734304484</v>
      </c>
      <c r="J628" t="n">
        <v>0.0233287837877933</v>
      </c>
      <c r="K628" t="n">
        <v>0.5473160788176182</v>
      </c>
      <c r="L628" t="b">
        <v>0</v>
      </c>
      <c r="M628" t="b">
        <v>0</v>
      </c>
      <c r="N628" t="inlineStr">
        <is>
          <t>ref</t>
        </is>
      </c>
      <c r="O628" t="n">
        <v>90</v>
      </c>
      <c r="P628" t="n">
        <v>0.003471</v>
      </c>
      <c r="Q628" t="n">
        <v>-95</v>
      </c>
      <c r="R628" t="n">
        <v>0.099</v>
      </c>
      <c r="S628">
        <f>IMAGE("https://mitra.stanford.edu/kundaje/oak/projects/neuro-variants/variant_position/credible/roussos_2024/variant_figures/roussos_2024.adolescence.Astrocyte/rs12421616_count_position.png",4,220,900)</f>
        <v/>
      </c>
      <c r="T628">
        <f>IMAGE("https://mitra.stanford.edu/kundaje/oak/projects/neuro-variants/variant_position/credible/roussos_2024/variant_figures/roussos_2024.adolescence.Astrocyte/rs12421616_profile_position.png",4,220,900)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0.0518928521999999</v>
      </c>
      <c r="G629" t="n">
        <v>0.2533317606865253</v>
      </c>
      <c r="H629" t="n">
        <v>0.0108447583728319</v>
      </c>
      <c r="I629" t="n">
        <v>0.6751835411091552</v>
      </c>
      <c r="J629" t="n">
        <v>0.0077270569385514</v>
      </c>
      <c r="K629" t="n">
        <v>0.6926461486114458</v>
      </c>
      <c r="L629" t="b">
        <v>0</v>
      </c>
      <c r="M629" t="b">
        <v>0</v>
      </c>
      <c r="N629" t="inlineStr">
        <is>
          <t>alt</t>
        </is>
      </c>
      <c r="O629" t="n">
        <v>60</v>
      </c>
      <c r="P629" t="n">
        <v>0.004204</v>
      </c>
      <c r="Q629" t="n">
        <v>40</v>
      </c>
      <c r="R629" t="n">
        <v>0.1191</v>
      </c>
      <c r="S629">
        <f>IMAGE("https://mitra.stanford.edu/kundaje/oak/projects/neuro-variants/variant_position/credible/roussos_2024/variant_figures/roussos_2024.adolescence.Astrocyte/rs7121986_count_position.png",4,220,900)</f>
        <v/>
      </c>
      <c r="T629">
        <f>IMAGE("https://mitra.stanford.edu/kundaje/oak/projects/neuro-variants/variant_position/credible/roussos_2024/variant_figures/roussos_2024.adolescence.Astrocyte/rs7121986_profile_position.png",4,220,900)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0.009073407800000001</v>
      </c>
      <c r="G630" t="n">
        <v>0.7586712622606497</v>
      </c>
      <c r="H630" t="n">
        <v>0.0367095044348149</v>
      </c>
      <c r="I630" t="n">
        <v>0.0137665562164174</v>
      </c>
      <c r="J630" t="n">
        <v>0.0497463133845651</v>
      </c>
      <c r="K630" t="n">
        <v>0.4422619578483336</v>
      </c>
      <c r="L630" t="b">
        <v>1</v>
      </c>
      <c r="M630" t="b">
        <v>0</v>
      </c>
      <c r="N630" t="inlineStr">
        <is>
          <t>alt</t>
        </is>
      </c>
      <c r="O630" t="n">
        <v>85</v>
      </c>
      <c r="P630" t="n">
        <v>0.05014</v>
      </c>
      <c r="Q630" t="n">
        <v>-90</v>
      </c>
      <c r="R630" t="n">
        <v>0.2147</v>
      </c>
      <c r="S630">
        <f>IMAGE("https://mitra.stanford.edu/kundaje/oak/projects/neuro-variants/variant_position/credible/roussos_2024/variant_figures/roussos_2024.adolescence.Astrocyte/rs4245150_count_position.png",4,220,900)</f>
        <v/>
      </c>
      <c r="T630">
        <f>IMAGE("https://mitra.stanford.edu/kundaje/oak/projects/neuro-variants/variant_position/credible/roussos_2024/variant_figures/roussos_2024.adolescence.Astrocyte/rs4245150_profile_position.png",4,220,900)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-0.00721435156</v>
      </c>
      <c r="G631" t="n">
        <v>0.8160873356655963</v>
      </c>
      <c r="H631" t="n">
        <v>0.0113872775455353</v>
      </c>
      <c r="I631" t="n">
        <v>0.6101109772535733</v>
      </c>
      <c r="J631" t="n">
        <v>0.0446762899445152</v>
      </c>
      <c r="K631" t="n">
        <v>0.4591706992810477</v>
      </c>
      <c r="L631" t="b">
        <v>0</v>
      </c>
      <c r="M631" t="b">
        <v>0</v>
      </c>
      <c r="N631" t="inlineStr">
        <is>
          <t>ref</t>
        </is>
      </c>
      <c r="O631" t="n">
        <v>70</v>
      </c>
      <c r="P631" t="n">
        <v>0.0646</v>
      </c>
      <c r="Q631" t="n">
        <v>65</v>
      </c>
      <c r="R631" t="n">
        <v>0.0633</v>
      </c>
      <c r="S631">
        <f>IMAGE("https://mitra.stanford.edu/kundaje/oak/projects/neuro-variants/variant_position/credible/roussos_2024/variant_figures/roussos_2024.adolescence.Astrocyte/rs17602038_count_position.png",4,220,900)</f>
        <v/>
      </c>
      <c r="T631">
        <f>IMAGE("https://mitra.stanford.edu/kundaje/oak/projects/neuro-variants/variant_position/credible/roussos_2024/variant_figures/roussos_2024.adolescence.Astrocyte/rs17602038_profile_position.png",4,220,900)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-0.304839458</v>
      </c>
      <c r="G632" t="n">
        <v>0.0063159585884453</v>
      </c>
      <c r="H632" t="n">
        <v>0.0395653282685369</v>
      </c>
      <c r="I632" t="n">
        <v>0.0111281720721879</v>
      </c>
      <c r="J632" t="n">
        <v>0.560436014598107</v>
      </c>
      <c r="K632" t="n">
        <v>0.0421799781018339</v>
      </c>
      <c r="L632" t="b">
        <v>1</v>
      </c>
      <c r="M632" t="b">
        <v>1</v>
      </c>
      <c r="N632" t="inlineStr">
        <is>
          <t>ref</t>
        </is>
      </c>
      <c r="O632" t="n">
        <v>45</v>
      </c>
      <c r="P632" t="n">
        <v>0.005432</v>
      </c>
      <c r="Q632" t="n">
        <v>85</v>
      </c>
      <c r="R632" t="n">
        <v>0.06152</v>
      </c>
      <c r="S632">
        <f>IMAGE("https://mitra.stanford.edu/kundaje/oak/projects/neuro-variants/variant_position/credible/roussos_2024/variant_figures/roussos_2024.adolescence.Astrocyte/rs2514222_count_position.png",4,220,900)</f>
        <v/>
      </c>
      <c r="T632">
        <f>IMAGE("https://mitra.stanford.edu/kundaje/oak/projects/neuro-variants/variant_position/credible/roussos_2024/variant_figures/roussos_2024.adolescence.Astrocyte/rs2514222_profile_position.png",4,220,900)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-0.08374780480000001</v>
      </c>
      <c r="G633" t="n">
        <v>0.1121342696001001</v>
      </c>
      <c r="H633" t="n">
        <v>0.0208346870861914</v>
      </c>
      <c r="I633" t="n">
        <v>0.1193577029436732</v>
      </c>
      <c r="J633" t="n">
        <v>0.0253968489451976</v>
      </c>
      <c r="K633" t="n">
        <v>0.54261069279907</v>
      </c>
      <c r="L633" t="b">
        <v>0</v>
      </c>
      <c r="M633" t="b">
        <v>0</v>
      </c>
      <c r="N633" t="inlineStr">
        <is>
          <t>ref</t>
        </is>
      </c>
      <c r="O633" t="n">
        <v>-95</v>
      </c>
      <c r="P633" t="n">
        <v>0.01175</v>
      </c>
      <c r="Q633" t="n">
        <v>75</v>
      </c>
      <c r="R633" t="n">
        <v>0.01904</v>
      </c>
      <c r="S633">
        <f>IMAGE("https://mitra.stanford.edu/kundaje/oak/projects/neuro-variants/variant_position/credible/roussos_2024/variant_figures/roussos_2024.adolescence.Astrocyte/rs115990434_count_position.png",4,220,900)</f>
        <v/>
      </c>
      <c r="T633">
        <f>IMAGE("https://mitra.stanford.edu/kundaje/oak/projects/neuro-variants/variant_position/credible/roussos_2024/variant_figures/roussos_2024.adolescence.Astrocyte/rs115990434_profile_position.png",4,220,900)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0.02065437132</v>
      </c>
      <c r="G634" t="n">
        <v>0.5329337255478968</v>
      </c>
      <c r="H634" t="n">
        <v>0.0177938597836027</v>
      </c>
      <c r="I634" t="n">
        <v>0.1995688119345978</v>
      </c>
      <c r="J634" t="n">
        <v>0.01974972554372</v>
      </c>
      <c r="K634" t="n">
        <v>0.5745093621345118</v>
      </c>
      <c r="L634" t="b">
        <v>0</v>
      </c>
      <c r="M634" t="b">
        <v>0</v>
      </c>
      <c r="N634" t="inlineStr">
        <is>
          <t>alt</t>
        </is>
      </c>
      <c r="O634" t="n">
        <v>100</v>
      </c>
      <c r="P634" t="n">
        <v>0.006325</v>
      </c>
      <c r="Q634" t="n">
        <v>100</v>
      </c>
      <c r="R634" t="n">
        <v>0.1076</v>
      </c>
      <c r="S634">
        <f>IMAGE("https://mitra.stanford.edu/kundaje/oak/projects/neuro-variants/variant_position/credible/roussos_2024/variant_figures/roussos_2024.adolescence.Astrocyte/rs59472562_count_position.png",4,220,900)</f>
        <v/>
      </c>
      <c r="T634">
        <f>IMAGE("https://mitra.stanford.edu/kundaje/oak/projects/neuro-variants/variant_position/credible/roussos_2024/variant_figures/roussos_2024.adolescence.Astrocyte/rs59472562_profile_position.png",4,220,900)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0.0226112318</v>
      </c>
      <c r="G635" t="n">
        <v>0.5117096446199449</v>
      </c>
      <c r="H635" t="n">
        <v>0.0142503271464933</v>
      </c>
      <c r="I635" t="n">
        <v>0.3747784722361389</v>
      </c>
      <c r="J635" t="n">
        <v>0.1442690561671067</v>
      </c>
      <c r="K635" t="n">
        <v>0.2580794269902374</v>
      </c>
      <c r="L635" t="b">
        <v>0</v>
      </c>
      <c r="M635" t="b">
        <v>0</v>
      </c>
      <c r="N635" t="inlineStr">
        <is>
          <t>alt</t>
        </is>
      </c>
      <c r="O635" t="n">
        <v>-40</v>
      </c>
      <c r="P635" t="n">
        <v>0.0015745</v>
      </c>
      <c r="Q635" t="n">
        <v>90</v>
      </c>
      <c r="R635" t="n">
        <v>0.08746</v>
      </c>
      <c r="S635">
        <f>IMAGE("https://mitra.stanford.edu/kundaje/oak/projects/neuro-variants/variant_position/credible/roussos_2024/variant_figures/roussos_2024.adolescence.Astrocyte/rs11607834_count_position.png",4,220,900)</f>
        <v/>
      </c>
      <c r="T635">
        <f>IMAGE("https://mitra.stanford.edu/kundaje/oak/projects/neuro-variants/variant_position/credible/roussos_2024/variant_figures/roussos_2024.adolescence.Astrocyte/rs11607834_profile_position.png",4,220,900)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0.186423654</v>
      </c>
      <c r="G636" t="n">
        <v>0.0209179831776533</v>
      </c>
      <c r="H636" t="n">
        <v>0.0353663426199587</v>
      </c>
      <c r="I636" t="n">
        <v>0.0163586693315055</v>
      </c>
      <c r="J636" t="n">
        <v>0.2170778565706316</v>
      </c>
      <c r="K636" t="n">
        <v>0.1884375203477732</v>
      </c>
      <c r="L636" t="b">
        <v>1</v>
      </c>
      <c r="M636" t="b">
        <v>0</v>
      </c>
      <c r="N636" t="inlineStr">
        <is>
          <t>alt</t>
        </is>
      </c>
      <c r="O636" t="n">
        <v>-70</v>
      </c>
      <c r="P636" t="n">
        <v>0.005627</v>
      </c>
      <c r="Q636" t="n">
        <v>65</v>
      </c>
      <c r="R636" t="n">
        <v>0.1337</v>
      </c>
      <c r="S636">
        <f>IMAGE("https://mitra.stanford.edu/kundaje/oak/projects/neuro-variants/variant_position/credible/roussos_2024/variant_figures/roussos_2024.adolescence.Astrocyte/rs11607852_count_position.png",4,220,900)</f>
        <v/>
      </c>
      <c r="T636">
        <f>IMAGE("https://mitra.stanford.edu/kundaje/oak/projects/neuro-variants/variant_position/credible/roussos_2024/variant_figures/roussos_2024.adolescence.Astrocyte/rs11607852_profile_position.png",4,220,900)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0.0404130166</v>
      </c>
      <c r="G637" t="n">
        <v>0.0636118749790151</v>
      </c>
      <c r="H637" t="n">
        <v>0.022233905081619</v>
      </c>
      <c r="I637" t="n">
        <v>0.09908223460379451</v>
      </c>
      <c r="J637" t="n">
        <v>0.3947831053615405</v>
      </c>
      <c r="K637" t="n">
        <v>0.0896110596604625</v>
      </c>
      <c r="L637" t="b">
        <v>0</v>
      </c>
      <c r="M637" t="b">
        <v>0</v>
      </c>
      <c r="N637" t="inlineStr">
        <is>
          <t>alt</t>
        </is>
      </c>
      <c r="O637" t="n">
        <v>-15</v>
      </c>
      <c r="P637" t="n">
        <v>0.001923</v>
      </c>
      <c r="Q637" t="n">
        <v>60</v>
      </c>
      <c r="R637" t="n">
        <v>0.03174</v>
      </c>
      <c r="S637">
        <f>IMAGE("https://mitra.stanford.edu/kundaje/oak/projects/neuro-variants/variant_position/credible/roussos_2024/variant_figures/roussos_2024.adolescence.Astrocyte/rs11605737_count_position.png",4,220,900)</f>
        <v/>
      </c>
      <c r="T637">
        <f>IMAGE("https://mitra.stanford.edu/kundaje/oak/projects/neuro-variants/variant_position/credible/roussos_2024/variant_figures/roussos_2024.adolescence.Astrocyte/rs11605737_profile_position.png",4,220,900)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0.0583565991999999</v>
      </c>
      <c r="G638" t="n">
        <v>0.1848011118538242</v>
      </c>
      <c r="H638" t="n">
        <v>0.0249287972119986</v>
      </c>
      <c r="I638" t="n">
        <v>0.0656377616674732</v>
      </c>
      <c r="J638" t="n">
        <v>0.0597476485772779</v>
      </c>
      <c r="K638" t="n">
        <v>0.405158262483631</v>
      </c>
      <c r="L638" t="b">
        <v>0</v>
      </c>
      <c r="M638" t="b">
        <v>0</v>
      </c>
      <c r="N638" t="inlineStr">
        <is>
          <t>alt</t>
        </is>
      </c>
      <c r="O638" t="n">
        <v>-15</v>
      </c>
      <c r="P638" t="n">
        <v>0.0051</v>
      </c>
      <c r="Q638" t="n">
        <v>-100</v>
      </c>
      <c r="R638" t="n">
        <v>0.0689</v>
      </c>
      <c r="S638">
        <f>IMAGE("https://mitra.stanford.edu/kundaje/oak/projects/neuro-variants/variant_position/credible/roussos_2024/variant_figures/roussos_2024.adolescence.Astrocyte/rs11606258_count_position.png",4,220,900)</f>
        <v/>
      </c>
      <c r="T638">
        <f>IMAGE("https://mitra.stanford.edu/kundaje/oak/projects/neuro-variants/variant_position/credible/roussos_2024/variant_figures/roussos_2024.adolescence.Astrocyte/rs11606258_profile_position.png",4,220,900)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-0.01565512456</v>
      </c>
      <c r="G639" t="n">
        <v>0.6387792262247965</v>
      </c>
      <c r="H639" t="n">
        <v>0.0297940363482696</v>
      </c>
      <c r="I639" t="n">
        <v>0.0320509575780931</v>
      </c>
      <c r="J639" t="n">
        <v>0.0022816959914547</v>
      </c>
      <c r="K639" t="n">
        <v>0.8220383704505225</v>
      </c>
      <c r="L639" t="b">
        <v>0</v>
      </c>
      <c r="M639" t="b">
        <v>0</v>
      </c>
      <c r="N639" t="inlineStr">
        <is>
          <t>ref</t>
        </is>
      </c>
      <c r="O639" t="n">
        <v>-45</v>
      </c>
      <c r="P639" t="n">
        <v>0.01399</v>
      </c>
      <c r="Q639" t="n">
        <v>-35</v>
      </c>
      <c r="R639" t="n">
        <v>0.1022</v>
      </c>
      <c r="S639">
        <f>IMAGE("https://mitra.stanford.edu/kundaje/oak/projects/neuro-variants/variant_position/credible/roussos_2024/variant_figures/roussos_2024.adolescence.Astrocyte/rs17532254_count_position.png",4,220,900)</f>
        <v/>
      </c>
      <c r="T639">
        <f>IMAGE("https://mitra.stanford.edu/kundaje/oak/projects/neuro-variants/variant_position/credible/roussos_2024/variant_figures/roussos_2024.adolescence.Astrocyte/rs17532254_profile_position.png",4,220,900)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0.0134516658399999</v>
      </c>
      <c r="G640" t="n">
        <v>0.6786185042948841</v>
      </c>
      <c r="H640" t="n">
        <v>0.0114544853724335</v>
      </c>
      <c r="I640" t="n">
        <v>0.6114397381396658</v>
      </c>
      <c r="J640" t="n">
        <v>0.019981900721004</v>
      </c>
      <c r="K640" t="n">
        <v>0.6061740507112716</v>
      </c>
      <c r="L640" t="b">
        <v>0</v>
      </c>
      <c r="M640" t="b">
        <v>0</v>
      </c>
      <c r="N640" t="inlineStr">
        <is>
          <t>alt</t>
        </is>
      </c>
      <c r="O640" t="n">
        <v>100</v>
      </c>
      <c r="P640" t="n">
        <v>0.01402</v>
      </c>
      <c r="Q640" t="n">
        <v>95</v>
      </c>
      <c r="R640" t="n">
        <v>0.1133</v>
      </c>
      <c r="S640">
        <f>IMAGE("https://mitra.stanford.edu/kundaje/oak/projects/neuro-variants/variant_position/credible/roussos_2024/variant_figures/roussos_2024.adolescence.Astrocyte/rs11602504_count_position.png",4,220,900)</f>
        <v/>
      </c>
      <c r="T640">
        <f>IMAGE("https://mitra.stanford.edu/kundaje/oak/projects/neuro-variants/variant_position/credible/roussos_2024/variant_figures/roussos_2024.adolescence.Astrocyte/rs11602504_profile_position.png",4,220,900)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-0.008579111340000001</v>
      </c>
      <c r="G641" t="n">
        <v>0.6786813545051265</v>
      </c>
      <c r="H641" t="n">
        <v>0.00914794311957</v>
      </c>
      <c r="I641" t="n">
        <v>0.8370424633844327</v>
      </c>
      <c r="J641" t="n">
        <v>0.0195264516511882</v>
      </c>
      <c r="K641" t="n">
        <v>0.5860162464819713</v>
      </c>
      <c r="L641" t="b">
        <v>0</v>
      </c>
      <c r="M641" t="b">
        <v>0</v>
      </c>
      <c r="N641" t="inlineStr">
        <is>
          <t>ref</t>
        </is>
      </c>
      <c r="O641" t="n">
        <v>65</v>
      </c>
      <c r="P641" t="n">
        <v>0.00252</v>
      </c>
      <c r="Q641" t="n">
        <v>100</v>
      </c>
      <c r="R641" t="n">
        <v>0.05457</v>
      </c>
      <c r="S641">
        <f>IMAGE("https://mitra.stanford.edu/kundaje/oak/projects/neuro-variants/variant_position/credible/roussos_2024/variant_figures/roussos_2024.adolescence.Astrocyte/rs61904990_count_position.png",4,220,900)</f>
        <v/>
      </c>
      <c r="T641">
        <f>IMAGE("https://mitra.stanford.edu/kundaje/oak/projects/neuro-variants/variant_position/credible/roussos_2024/variant_figures/roussos_2024.adolescence.Astrocyte/rs61904990_profile_position.png",4,220,900)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-0.04888303268</v>
      </c>
      <c r="G642" t="n">
        <v>0.2195564112401624</v>
      </c>
      <c r="H642" t="n">
        <v>0.0182008665607561</v>
      </c>
      <c r="I642" t="n">
        <v>0.1939996240100746</v>
      </c>
      <c r="J642" t="n">
        <v>0.09911877280954209</v>
      </c>
      <c r="K642" t="n">
        <v>0.3228423010625276</v>
      </c>
      <c r="L642" t="b">
        <v>0</v>
      </c>
      <c r="M642" t="b">
        <v>0</v>
      </c>
      <c r="N642" t="inlineStr">
        <is>
          <t>ref</t>
        </is>
      </c>
      <c r="O642" t="n">
        <v>30</v>
      </c>
      <c r="P642" t="n">
        <v>0.012115</v>
      </c>
      <c r="Q642" t="n">
        <v>75</v>
      </c>
      <c r="R642" t="n">
        <v>0.2874</v>
      </c>
      <c r="S642">
        <f>IMAGE("https://mitra.stanford.edu/kundaje/oak/projects/neuro-variants/variant_position/credible/roussos_2024/variant_figures/roussos_2024.adolescence.Astrocyte/rs17610915_count_position.png",4,220,900)</f>
        <v/>
      </c>
      <c r="T642">
        <f>IMAGE("https://mitra.stanford.edu/kundaje/oak/projects/neuro-variants/variant_position/credible/roussos_2024/variant_figures/roussos_2024.adolescence.Astrocyte/rs17610915_profile_position.png",4,220,900)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0.189881888</v>
      </c>
      <c r="G643" t="n">
        <v>0.0206367930957319</v>
      </c>
      <c r="H643" t="n">
        <v>0.0339682593845077</v>
      </c>
      <c r="I643" t="n">
        <v>0.0193528372600019</v>
      </c>
      <c r="J643" t="n">
        <v>0.1222865916980684</v>
      </c>
      <c r="K643" t="n">
        <v>0.2883842642036427</v>
      </c>
      <c r="L643" t="b">
        <v>1</v>
      </c>
      <c r="M643" t="b">
        <v>0</v>
      </c>
      <c r="N643" t="inlineStr">
        <is>
          <t>alt</t>
        </is>
      </c>
      <c r="O643" t="n">
        <v>15</v>
      </c>
      <c r="P643" t="n">
        <v>0.001236</v>
      </c>
      <c r="Q643" t="n">
        <v>45</v>
      </c>
      <c r="R643" t="n">
        <v>0.04004</v>
      </c>
      <c r="S643">
        <f>IMAGE("https://mitra.stanford.edu/kundaje/oak/projects/neuro-variants/variant_position/credible/roussos_2024/variant_figures/roussos_2024.adolescence.Astrocyte/rs61904994_count_position.png",4,220,900)</f>
        <v/>
      </c>
      <c r="T643">
        <f>IMAGE("https://mitra.stanford.edu/kundaje/oak/projects/neuro-variants/variant_position/credible/roussos_2024/variant_figures/roussos_2024.adolescence.Astrocyte/rs61904994_profile_position.png",4,220,900)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-0.1029003112999999</v>
      </c>
      <c r="G644" t="n">
        <v>0.0977878753232479</v>
      </c>
      <c r="H644" t="n">
        <v>0.0161692132343619</v>
      </c>
      <c r="I644" t="n">
        <v>0.2719561664136699</v>
      </c>
      <c r="J644" t="n">
        <v>0.009243984215055</v>
      </c>
      <c r="K644" t="n">
        <v>0.7208921830215831</v>
      </c>
      <c r="L644" t="b">
        <v>0</v>
      </c>
      <c r="M644" t="b">
        <v>0</v>
      </c>
      <c r="N644" t="inlineStr">
        <is>
          <t>ref</t>
        </is>
      </c>
      <c r="O644" t="n">
        <v>-55</v>
      </c>
      <c r="P644" t="n">
        <v>0.004276</v>
      </c>
      <c r="Q644" t="n">
        <v>-55</v>
      </c>
      <c r="R644" t="n">
        <v>0.03247</v>
      </c>
      <c r="S644">
        <f>IMAGE("https://mitra.stanford.edu/kundaje/oak/projects/neuro-variants/variant_position/credible/roussos_2024/variant_figures/roussos_2024.adolescence.Astrocyte/rs11600745_count_position.png",4,220,900)</f>
        <v/>
      </c>
      <c r="T644">
        <f>IMAGE("https://mitra.stanford.edu/kundaje/oak/projects/neuro-variants/variant_position/credible/roussos_2024/variant_figures/roussos_2024.adolescence.Astrocyte/rs11600745_profile_position.png",4,220,900)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-0.106035599</v>
      </c>
      <c r="G645" t="n">
        <v>0.0812075659400576</v>
      </c>
      <c r="H645" t="n">
        <v>0.012096941340849</v>
      </c>
      <c r="I645" t="n">
        <v>0.5493621192246013</v>
      </c>
      <c r="J645" t="n">
        <v>0.0024767824822715</v>
      </c>
      <c r="K645" t="n">
        <v>0.8154142102105908</v>
      </c>
      <c r="L645" t="b">
        <v>0</v>
      </c>
      <c r="M645" t="b">
        <v>0</v>
      </c>
      <c r="N645" t="inlineStr">
        <is>
          <t>ref</t>
        </is>
      </c>
      <c r="O645" t="n">
        <v>100</v>
      </c>
      <c r="P645" t="n">
        <v>0.00992</v>
      </c>
      <c r="Q645" t="n">
        <v>35</v>
      </c>
      <c r="R645" t="n">
        <v>0.0829</v>
      </c>
      <c r="S645">
        <f>IMAGE("https://mitra.stanford.edu/kundaje/oak/projects/neuro-variants/variant_position/credible/roussos_2024/variant_figures/roussos_2024.adolescence.Astrocyte/rs73004093_count_position.png",4,220,900)</f>
        <v/>
      </c>
      <c r="T645">
        <f>IMAGE("https://mitra.stanford.edu/kundaje/oak/projects/neuro-variants/variant_position/credible/roussos_2024/variant_figures/roussos_2024.adolescence.Astrocyte/rs73004093_profile_position.png",4,220,900)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-0.018754144</v>
      </c>
      <c r="G646" t="n">
        <v>0.462927833235066</v>
      </c>
      <c r="H646" t="n">
        <v>0.01381136833414</v>
      </c>
      <c r="I646" t="n">
        <v>0.4022066764131968</v>
      </c>
      <c r="J646" t="n">
        <v>0.0008300448031331</v>
      </c>
      <c r="K646" t="n">
        <v>0.8975896990315406</v>
      </c>
      <c r="L646" t="b">
        <v>0</v>
      </c>
      <c r="M646" t="b">
        <v>0</v>
      </c>
      <c r="N646" t="inlineStr">
        <is>
          <t>ref</t>
        </is>
      </c>
      <c r="O646" t="n">
        <v>-95</v>
      </c>
      <c r="P646" t="n">
        <v>0.00844</v>
      </c>
      <c r="Q646" t="n">
        <v>0</v>
      </c>
      <c r="R646" t="n">
        <v>0</v>
      </c>
      <c r="S646">
        <f>IMAGE("https://mitra.stanford.edu/kundaje/oak/projects/neuro-variants/variant_position/credible/roussos_2024/variant_figures/roussos_2024.adolescence.Astrocyte/rs11601890_count_position.png",4,220,900)</f>
        <v/>
      </c>
      <c r="T646">
        <f>IMAGE("https://mitra.stanford.edu/kundaje/oak/projects/neuro-variants/variant_position/credible/roussos_2024/variant_figures/roussos_2024.adolescence.Astrocyte/rs11601890_profile_position.png",4,220,900)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0.1271799639999999</v>
      </c>
      <c r="G647" t="n">
        <v>0.0521125387142298</v>
      </c>
      <c r="H647" t="n">
        <v>0.0236431807795256</v>
      </c>
      <c r="I647" t="n">
        <v>0.08414299527961359</v>
      </c>
      <c r="J647" t="n">
        <v>0.0178671038186511</v>
      </c>
      <c r="K647" t="n">
        <v>0.619248459056854</v>
      </c>
      <c r="L647" t="b">
        <v>0</v>
      </c>
      <c r="M647" t="b">
        <v>0</v>
      </c>
      <c r="N647" t="inlineStr">
        <is>
          <t>alt</t>
        </is>
      </c>
      <c r="O647" t="n">
        <v>-40</v>
      </c>
      <c r="P647" t="n">
        <v>0.002296</v>
      </c>
      <c r="Q647" t="n">
        <v>100</v>
      </c>
      <c r="R647" t="n">
        <v>0.1357</v>
      </c>
      <c r="S647">
        <f>IMAGE("https://mitra.stanford.edu/kundaje/oak/projects/neuro-variants/variant_position/credible/roussos_2024/variant_figures/roussos_2024.adolescence.Astrocyte/rs11601548_count_position.png",4,220,900)</f>
        <v/>
      </c>
      <c r="T647">
        <f>IMAGE("https://mitra.stanford.edu/kundaje/oak/projects/neuro-variants/variant_position/credible/roussos_2024/variant_figures/roussos_2024.adolescence.Astrocyte/rs11601548_profile_position.png",4,220,900)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-0.0450902037999999</v>
      </c>
      <c r="G648" t="n">
        <v>0.2516605610132338</v>
      </c>
      <c r="H648" t="n">
        <v>0.0133520916117376</v>
      </c>
      <c r="I648" t="n">
        <v>0.4352376527764393</v>
      </c>
      <c r="J648" t="n">
        <v>0.0222539536539773</v>
      </c>
      <c r="K648" t="n">
        <v>0.5947047514713316</v>
      </c>
      <c r="L648" t="b">
        <v>0</v>
      </c>
      <c r="M648" t="b">
        <v>0</v>
      </c>
      <c r="N648" t="inlineStr">
        <is>
          <t>ref</t>
        </is>
      </c>
      <c r="O648" t="n">
        <v>-15</v>
      </c>
      <c r="P648" t="n">
        <v>0.0004387</v>
      </c>
      <c r="Q648" t="n">
        <v>-15</v>
      </c>
      <c r="R648" t="n">
        <v>0.04224</v>
      </c>
      <c r="S648">
        <f>IMAGE("https://mitra.stanford.edu/kundaje/oak/projects/neuro-variants/variant_position/credible/roussos_2024/variant_figures/roussos_2024.adolescence.Astrocyte/rs11607747_count_position.png",4,220,900)</f>
        <v/>
      </c>
      <c r="T648">
        <f>IMAGE("https://mitra.stanford.edu/kundaje/oak/projects/neuro-variants/variant_position/credible/roussos_2024/variant_figures/roussos_2024.adolescence.Astrocyte/rs11607747_profile_position.png",4,220,900)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-0.1154390152</v>
      </c>
      <c r="G649" t="n">
        <v>0.059800351923319</v>
      </c>
      <c r="H649" t="n">
        <v>0.0177879660021519</v>
      </c>
      <c r="I649" t="n">
        <v>0.1978202163156462</v>
      </c>
      <c r="J649" t="n">
        <v>0.002521288906032</v>
      </c>
      <c r="K649" t="n">
        <v>0.8102553150918805</v>
      </c>
      <c r="L649" t="b">
        <v>0</v>
      </c>
      <c r="M649" t="b">
        <v>0</v>
      </c>
      <c r="N649" t="inlineStr">
        <is>
          <t>ref</t>
        </is>
      </c>
      <c r="O649" t="n">
        <v>-95</v>
      </c>
      <c r="P649" t="n">
        <v>0.0367</v>
      </c>
      <c r="Q649" t="n">
        <v>55</v>
      </c>
      <c r="R649" t="n">
        <v>0.0799</v>
      </c>
      <c r="S649">
        <f>IMAGE("https://mitra.stanford.edu/kundaje/oak/projects/neuro-variants/variant_position/credible/roussos_2024/variant_figures/roussos_2024.adolescence.Astrocyte/rs11603480_count_position.png",4,220,900)</f>
        <v/>
      </c>
      <c r="T649">
        <f>IMAGE("https://mitra.stanford.edu/kundaje/oak/projects/neuro-variants/variant_position/credible/roussos_2024/variant_figures/roussos_2024.adolescence.Astrocyte/rs11603480_profile_position.png",4,220,900)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0.020800831</v>
      </c>
      <c r="G650" t="n">
        <v>0.4758387451582703</v>
      </c>
      <c r="H650" t="n">
        <v>0.008311856061512199</v>
      </c>
      <c r="I650" t="n">
        <v>0.9002332478139656</v>
      </c>
      <c r="J650" t="n">
        <v>0.0083278936593181</v>
      </c>
      <c r="K650" t="n">
        <v>0.7148412354843148</v>
      </c>
      <c r="L650" t="b">
        <v>0</v>
      </c>
      <c r="M650" t="b">
        <v>0</v>
      </c>
      <c r="N650" t="inlineStr">
        <is>
          <t>alt</t>
        </is>
      </c>
      <c r="O650" t="n">
        <v>85</v>
      </c>
      <c r="P650" t="n">
        <v>0.009025999999999999</v>
      </c>
      <c r="Q650" t="n">
        <v>-40</v>
      </c>
      <c r="R650" t="n">
        <v>0.07214</v>
      </c>
      <c r="S650">
        <f>IMAGE("https://mitra.stanford.edu/kundaje/oak/projects/neuro-variants/variant_position/credible/roussos_2024/variant_figures/roussos_2024.adolescence.Astrocyte/rs6590000_count_position.png",4,220,900)</f>
        <v/>
      </c>
      <c r="T650">
        <f>IMAGE("https://mitra.stanford.edu/kundaje/oak/projects/neuro-variants/variant_position/credible/roussos_2024/variant_figures/roussos_2024.adolescence.Astrocyte/rs6590000_profile_position.png",4,220,900)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-0.01263941222</v>
      </c>
      <c r="G651" t="n">
        <v>0.4096025458618627</v>
      </c>
      <c r="H651" t="n">
        <v>0.0114350711026408</v>
      </c>
      <c r="I651" t="n">
        <v>0.6076205914833991</v>
      </c>
      <c r="J651" t="n">
        <v>0.0610872919324688</v>
      </c>
      <c r="K651" t="n">
        <v>0.4206428578888694</v>
      </c>
      <c r="L651" t="b">
        <v>0</v>
      </c>
      <c r="M651" t="b">
        <v>0</v>
      </c>
      <c r="N651" t="inlineStr">
        <is>
          <t>ref</t>
        </is>
      </c>
      <c r="O651" t="n">
        <v>-65</v>
      </c>
      <c r="P651" t="n">
        <v>0.004303</v>
      </c>
      <c r="Q651" t="n">
        <v>-50</v>
      </c>
      <c r="R651" t="n">
        <v>0.02283</v>
      </c>
      <c r="S651">
        <f>IMAGE("https://mitra.stanford.edu/kundaje/oak/projects/neuro-variants/variant_position/credible/roussos_2024/variant_figures/roussos_2024.adolescence.Astrocyte/rs11219174_count_position.png",4,220,900)</f>
        <v/>
      </c>
      <c r="T651">
        <f>IMAGE("https://mitra.stanford.edu/kundaje/oak/projects/neuro-variants/variant_position/credible/roussos_2024/variant_figures/roussos_2024.adolescence.Astrocyte/rs11219174_profile_position.png",4,220,900)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-0.0666089218</v>
      </c>
      <c r="G652" t="n">
        <v>0.1591716205603446</v>
      </c>
      <c r="H652" t="n">
        <v>0.0136481527536266</v>
      </c>
      <c r="I652" t="n">
        <v>0.4092685050089024</v>
      </c>
      <c r="J652" t="n">
        <v>0.0058125389431207</v>
      </c>
      <c r="K652" t="n">
        <v>0.7329090376553911</v>
      </c>
      <c r="L652" t="b">
        <v>0</v>
      </c>
      <c r="M652" t="b">
        <v>0</v>
      </c>
      <c r="N652" t="inlineStr">
        <is>
          <t>ref</t>
        </is>
      </c>
      <c r="O652" t="n">
        <v>95</v>
      </c>
      <c r="P652" t="n">
        <v>0.00881</v>
      </c>
      <c r="Q652" t="n">
        <v>-35</v>
      </c>
      <c r="R652" t="n">
        <v>0.0178</v>
      </c>
      <c r="S652">
        <f>IMAGE("https://mitra.stanford.edu/kundaje/oak/projects/neuro-variants/variant_position/credible/roussos_2024/variant_figures/roussos_2024.adolescence.Astrocyte/rs11601260_count_position.png",4,220,900)</f>
        <v/>
      </c>
      <c r="T652">
        <f>IMAGE("https://mitra.stanford.edu/kundaje/oak/projects/neuro-variants/variant_position/credible/roussos_2024/variant_figures/roussos_2024.adolescence.Astrocyte/rs11601260_profile_position.png",4,220,900)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0.0132640394</v>
      </c>
      <c r="G653" t="n">
        <v>0.6772597757933861</v>
      </c>
      <c r="H653" t="n">
        <v>0.0097201379285148</v>
      </c>
      <c r="I653" t="n">
        <v>0.7786201707362296</v>
      </c>
      <c r="J653" t="n">
        <v>0.0037696940925139</v>
      </c>
      <c r="K653" t="n">
        <v>0.7652871846449788</v>
      </c>
      <c r="L653" t="b">
        <v>0</v>
      </c>
      <c r="M653" t="b">
        <v>0</v>
      </c>
      <c r="N653" t="inlineStr">
        <is>
          <t>alt</t>
        </is>
      </c>
      <c r="O653" t="n">
        <v>-30</v>
      </c>
      <c r="P653" t="n">
        <v>0.003548</v>
      </c>
      <c r="Q653" t="n">
        <v>85</v>
      </c>
      <c r="R653" t="n">
        <v>0.09937</v>
      </c>
      <c r="S653">
        <f>IMAGE("https://mitra.stanford.edu/kundaje/oak/projects/neuro-variants/variant_position/credible/roussos_2024/variant_figures/roussos_2024.adolescence.Astrocyte/rs111454416_count_position.png",4,220,900)</f>
        <v/>
      </c>
      <c r="T653">
        <f>IMAGE("https://mitra.stanford.edu/kundaje/oak/projects/neuro-variants/variant_position/credible/roussos_2024/variant_figures/roussos_2024.adolescence.Astrocyte/rs111454416_profile_position.png",4,220,900)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0.0263108314</v>
      </c>
      <c r="G654" t="n">
        <v>0.4363269993177408</v>
      </c>
      <c r="H654" t="n">
        <v>0.0417509722605306</v>
      </c>
      <c r="I654" t="n">
        <v>0.008097929564994</v>
      </c>
      <c r="J654" t="n">
        <v>0.0080645639854018</v>
      </c>
      <c r="K654" t="n">
        <v>0.6877265553780152</v>
      </c>
      <c r="L654" t="b">
        <v>0</v>
      </c>
      <c r="M654" t="b">
        <v>0</v>
      </c>
      <c r="N654" t="inlineStr">
        <is>
          <t>alt</t>
        </is>
      </c>
      <c r="O654" t="n">
        <v>40</v>
      </c>
      <c r="P654" t="n">
        <v>0.003086</v>
      </c>
      <c r="Q654" t="n">
        <v>65</v>
      </c>
      <c r="R654" t="n">
        <v>0.0464</v>
      </c>
      <c r="S654">
        <f>IMAGE("https://mitra.stanford.edu/kundaje/oak/projects/neuro-variants/variant_position/credible/roussos_2024/variant_figures/roussos_2024.adolescence.Astrocyte/rs2212756_count_position.png",4,220,900)</f>
        <v/>
      </c>
      <c r="T654">
        <f>IMAGE("https://mitra.stanford.edu/kundaje/oak/projects/neuro-variants/variant_position/credible/roussos_2024/variant_figures/roussos_2024.adolescence.Astrocyte/rs2212756_profile_position.png",4,220,900)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-0.228413754</v>
      </c>
      <c r="G655" t="n">
        <v>0.0133378091829671</v>
      </c>
      <c r="H655" t="n">
        <v>0.0159692291656965</v>
      </c>
      <c r="I655" t="n">
        <v>0.2834826910095346</v>
      </c>
      <c r="J655" t="n">
        <v>0.0156284307034981</v>
      </c>
      <c r="K655" t="n">
        <v>0.6346753670299958</v>
      </c>
      <c r="L655" t="b">
        <v>1</v>
      </c>
      <c r="M655" t="b">
        <v>0</v>
      </c>
      <c r="N655" t="inlineStr">
        <is>
          <t>ref</t>
        </is>
      </c>
      <c r="O655" t="n">
        <v>-40</v>
      </c>
      <c r="P655" t="n">
        <v>0.001671</v>
      </c>
      <c r="Q655" t="n">
        <v>-40</v>
      </c>
      <c r="R655" t="n">
        <v>0.1033</v>
      </c>
      <c r="S655">
        <f>IMAGE("https://mitra.stanford.edu/kundaje/oak/projects/neuro-variants/variant_position/credible/roussos_2024/variant_figures/roussos_2024.adolescence.Astrocyte/rs1942660_count_position.png",4,220,900)</f>
        <v/>
      </c>
      <c r="T655">
        <f>IMAGE("https://mitra.stanford.edu/kundaje/oak/projects/neuro-variants/variant_position/credible/roussos_2024/variant_figures/roussos_2024.adolescence.Astrocyte/rs1942660_profile_position.png",4,220,900)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0.008694345080000001</v>
      </c>
      <c r="G656" t="n">
        <v>0.7672945695331316</v>
      </c>
      <c r="H656" t="n">
        <v>0.0318966179498449</v>
      </c>
      <c r="I656" t="n">
        <v>0.0243228712178839</v>
      </c>
      <c r="J656" t="n">
        <v>0.0178990000890127</v>
      </c>
      <c r="K656" t="n">
        <v>0.5938239701756211</v>
      </c>
      <c r="L656" t="b">
        <v>0</v>
      </c>
      <c r="M656" t="b">
        <v>0</v>
      </c>
      <c r="N656" t="inlineStr">
        <is>
          <t>alt</t>
        </is>
      </c>
      <c r="O656" t="n">
        <v>65</v>
      </c>
      <c r="P656" t="n">
        <v>0.006775</v>
      </c>
      <c r="Q656" t="n">
        <v>-100</v>
      </c>
      <c r="R656" t="n">
        <v>0.2373</v>
      </c>
      <c r="S656">
        <f>IMAGE("https://mitra.stanford.edu/kundaje/oak/projects/neuro-variants/variant_position/credible/roussos_2024/variant_figures/roussos_2024.adolescence.Astrocyte/rs6590093_count_position.png",4,220,900)</f>
        <v/>
      </c>
      <c r="T656">
        <f>IMAGE("https://mitra.stanford.edu/kundaje/oak/projects/neuro-variants/variant_position/credible/roussos_2024/variant_figures/roussos_2024.adolescence.Astrocyte/rs6590093_profile_position.png",4,220,900)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0.0599989011999999</v>
      </c>
      <c r="G657" t="n">
        <v>0.1765511806517213</v>
      </c>
      <c r="H657" t="n">
        <v>0.0123390652766055</v>
      </c>
      <c r="I657" t="n">
        <v>0.5117299116313004</v>
      </c>
      <c r="J657" t="n">
        <v>0.0015762691748508</v>
      </c>
      <c r="K657" t="n">
        <v>0.8357290578500876</v>
      </c>
      <c r="L657" t="b">
        <v>0</v>
      </c>
      <c r="M657" t="b">
        <v>0</v>
      </c>
      <c r="N657" t="inlineStr">
        <is>
          <t>alt</t>
        </is>
      </c>
      <c r="O657" t="n">
        <v>100</v>
      </c>
      <c r="P657" t="n">
        <v>0.0003662</v>
      </c>
      <c r="Q657" t="n">
        <v>15</v>
      </c>
      <c r="R657" t="n">
        <v>0.0598</v>
      </c>
      <c r="S657">
        <f>IMAGE("https://mitra.stanford.edu/kundaje/oak/projects/neuro-variants/variant_position/credible/roussos_2024/variant_figures/roussos_2024.adolescence.Astrocyte/rs11601322_count_position.png",4,220,900)</f>
        <v/>
      </c>
      <c r="T657">
        <f>IMAGE("https://mitra.stanford.edu/kundaje/oak/projects/neuro-variants/variant_position/credible/roussos_2024/variant_figures/roussos_2024.adolescence.Astrocyte/rs11601322_profile_position.png",4,220,900)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-0.0142557413</v>
      </c>
      <c r="G658" t="n">
        <v>0.6539920527737664</v>
      </c>
      <c r="H658" t="n">
        <v>0.0375620324420735</v>
      </c>
      <c r="I658" t="n">
        <v>0.0123858784981822</v>
      </c>
      <c r="J658" t="n">
        <v>0.0113639735335132</v>
      </c>
      <c r="K658" t="n">
        <v>0.6688281655321946</v>
      </c>
      <c r="L658" t="b">
        <v>1</v>
      </c>
      <c r="M658" t="b">
        <v>0</v>
      </c>
      <c r="N658" t="inlineStr">
        <is>
          <t>ref</t>
        </is>
      </c>
      <c r="O658" t="n">
        <v>-30</v>
      </c>
      <c r="P658" t="n">
        <v>0.00234</v>
      </c>
      <c r="Q658" t="n">
        <v>-95</v>
      </c>
      <c r="R658" t="n">
        <v>0.0963</v>
      </c>
      <c r="S658">
        <f>IMAGE("https://mitra.stanford.edu/kundaje/oak/projects/neuro-variants/variant_position/credible/roussos_2024/variant_figures/roussos_2024.adolescence.Astrocyte/rs7938753_count_position.png",4,220,900)</f>
        <v/>
      </c>
      <c r="T658">
        <f>IMAGE("https://mitra.stanford.edu/kundaje/oak/projects/neuro-variants/variant_position/credible/roussos_2024/variant_figures/roussos_2024.adolescence.Astrocyte/rs7938753_profile_position.png",4,220,900)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-0.0481805736</v>
      </c>
      <c r="G659" t="n">
        <v>0.2629376247829122</v>
      </c>
      <c r="H659" t="n">
        <v>0.048423793280019</v>
      </c>
      <c r="I659" t="n">
        <v>0.0043929099002102</v>
      </c>
      <c r="J659" t="n">
        <v>0.0328665103996676</v>
      </c>
      <c r="K659" t="n">
        <v>0.5212870605173616</v>
      </c>
      <c r="L659" t="b">
        <v>1</v>
      </c>
      <c r="M659" t="b">
        <v>0</v>
      </c>
      <c r="N659" t="inlineStr">
        <is>
          <t>ref</t>
        </is>
      </c>
      <c r="O659" t="n">
        <v>-80</v>
      </c>
      <c r="P659" t="n">
        <v>0.007767</v>
      </c>
      <c r="Q659" t="n">
        <v>100</v>
      </c>
      <c r="R659" t="n">
        <v>0.08119999999999999</v>
      </c>
      <c r="S659">
        <f>IMAGE("https://mitra.stanford.edu/kundaje/oak/projects/neuro-variants/variant_position/credible/roussos_2024/variant_figures/roussos_2024.adolescence.Astrocyte/rs35274053_count_position.png",4,220,900)</f>
        <v/>
      </c>
      <c r="T659">
        <f>IMAGE("https://mitra.stanford.edu/kundaje/oak/projects/neuro-variants/variant_position/credible/roussos_2024/variant_figures/roussos_2024.adolescence.Astrocyte/rs35274053_profile_position.png",4,220,900)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-0.1580526059999999</v>
      </c>
      <c r="G660" t="n">
        <v>0.0324491411756958</v>
      </c>
      <c r="H660" t="n">
        <v>0.0183151285909853</v>
      </c>
      <c r="I660" t="n">
        <v>0.185272601209841</v>
      </c>
      <c r="J660" t="n">
        <v>0.1984615612853454</v>
      </c>
      <c r="K660" t="n">
        <v>0.2105035371062054</v>
      </c>
      <c r="L660" t="b">
        <v>0</v>
      </c>
      <c r="M660" t="b">
        <v>0</v>
      </c>
      <c r="N660" t="inlineStr">
        <is>
          <t>ref</t>
        </is>
      </c>
      <c r="O660" t="n">
        <v>-20</v>
      </c>
      <c r="P660" t="n">
        <v>0.00415</v>
      </c>
      <c r="Q660" t="n">
        <v>-15</v>
      </c>
      <c r="R660" t="n">
        <v>0.0542</v>
      </c>
      <c r="S660">
        <f>IMAGE("https://mitra.stanford.edu/kundaje/oak/projects/neuro-variants/variant_position/credible/roussos_2024/variant_figures/roussos_2024.adolescence.Astrocyte/rs10791102_count_position.png",4,220,900)</f>
        <v/>
      </c>
      <c r="T660">
        <f>IMAGE("https://mitra.stanford.edu/kundaje/oak/projects/neuro-variants/variant_position/credible/roussos_2024/variant_figures/roussos_2024.adolescence.Astrocyte/rs10791102_profile_position.png",4,220,900)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-0.1189497376</v>
      </c>
      <c r="G661" t="n">
        <v>0.0567634498096592</v>
      </c>
      <c r="H661" t="n">
        <v>0.0192462095566354</v>
      </c>
      <c r="I661" t="n">
        <v>0.154463806250801</v>
      </c>
      <c r="J661" t="n">
        <v>0.0506750140937008</v>
      </c>
      <c r="K661" t="n">
        <v>0.4397217086914191</v>
      </c>
      <c r="L661" t="b">
        <v>0</v>
      </c>
      <c r="M661" t="b">
        <v>0</v>
      </c>
      <c r="N661" t="inlineStr">
        <is>
          <t>ref</t>
        </is>
      </c>
      <c r="O661" t="n">
        <v>-10</v>
      </c>
      <c r="P661" t="n">
        <v>0.003296</v>
      </c>
      <c r="Q661" t="n">
        <v>60</v>
      </c>
      <c r="R661" t="n">
        <v>0.02902</v>
      </c>
      <c r="S661">
        <f>IMAGE("https://mitra.stanford.edu/kundaje/oak/projects/neuro-variants/variant_position/credible/roussos_2024/variant_figures/roussos_2024.adolescence.Astrocyte/rs10894286_count_position.png",4,220,900)</f>
        <v/>
      </c>
      <c r="T661">
        <f>IMAGE("https://mitra.stanford.edu/kundaje/oak/projects/neuro-variants/variant_position/credible/roussos_2024/variant_figures/roussos_2024.adolescence.Astrocyte/rs10894286_profile_position.png",4,220,900)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-0.1445608052</v>
      </c>
      <c r="G662" t="n">
        <v>0.0481338974871616</v>
      </c>
      <c r="H662" t="n">
        <v>0.0209681734919756</v>
      </c>
      <c r="I662" t="n">
        <v>0.1210193962982826</v>
      </c>
      <c r="J662" t="n">
        <v>0.0013522535085896</v>
      </c>
      <c r="K662" t="n">
        <v>0.8504266020016568</v>
      </c>
      <c r="L662" t="b">
        <v>0</v>
      </c>
      <c r="M662" t="b">
        <v>0</v>
      </c>
      <c r="N662" t="inlineStr">
        <is>
          <t>ref</t>
        </is>
      </c>
      <c r="O662" t="n">
        <v>65</v>
      </c>
      <c r="P662" t="n">
        <v>0.005432</v>
      </c>
      <c r="Q662" t="n">
        <v>-90</v>
      </c>
      <c r="R662" t="n">
        <v>0.0515</v>
      </c>
      <c r="S662">
        <f>IMAGE("https://mitra.stanford.edu/kundaje/oak/projects/neuro-variants/variant_position/credible/roussos_2024/variant_figures/roussos_2024.adolescence.Astrocyte/rs11222406_count_position.png",4,220,900)</f>
        <v/>
      </c>
      <c r="T662">
        <f>IMAGE("https://mitra.stanford.edu/kundaje/oak/projects/neuro-variants/variant_position/credible/roussos_2024/variant_figures/roussos_2024.adolescence.Astrocyte/rs11222406_profile_position.png",4,220,900)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-0.0222528150139999</v>
      </c>
      <c r="G663" t="n">
        <v>0.4827139966655571</v>
      </c>
      <c r="H663" t="n">
        <v>0.029820097029793</v>
      </c>
      <c r="I663" t="n">
        <v>0.0318731682543403</v>
      </c>
      <c r="J663" t="n">
        <v>0.0010777972287333</v>
      </c>
      <c r="K663" t="n">
        <v>0.8880741558936552</v>
      </c>
      <c r="L663" t="b">
        <v>0</v>
      </c>
      <c r="M663" t="b">
        <v>0</v>
      </c>
      <c r="N663" t="inlineStr">
        <is>
          <t>ref</t>
        </is>
      </c>
      <c r="O663" t="n">
        <v>10</v>
      </c>
      <c r="P663" t="n">
        <v>0.005577</v>
      </c>
      <c r="Q663" t="n">
        <v>-90</v>
      </c>
      <c r="R663" t="n">
        <v>0.05206</v>
      </c>
      <c r="S663">
        <f>IMAGE("https://mitra.stanford.edu/kundaje/oak/projects/neuro-variants/variant_position/credible/roussos_2024/variant_figures/roussos_2024.adolescence.Astrocyte/rs10894307_count_position.png",4,220,900)</f>
        <v/>
      </c>
      <c r="T663">
        <f>IMAGE("https://mitra.stanford.edu/kundaje/oak/projects/neuro-variants/variant_position/credible/roussos_2024/variant_figures/roussos_2024.adolescence.Astrocyte/rs10894307_profile_position.png",4,220,900)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-0.01364741368</v>
      </c>
      <c r="G664" t="n">
        <v>0.683275131654656</v>
      </c>
      <c r="H664" t="n">
        <v>0.0201207513764147</v>
      </c>
      <c r="I664" t="n">
        <v>0.1339112467459345</v>
      </c>
      <c r="J664" t="n">
        <v>0.0008997715336913</v>
      </c>
      <c r="K664" t="n">
        <v>0.8835169998287989</v>
      </c>
      <c r="L664" t="b">
        <v>0</v>
      </c>
      <c r="M664" t="b">
        <v>0</v>
      </c>
      <c r="N664" t="inlineStr">
        <is>
          <t>ref</t>
        </is>
      </c>
      <c r="O664" t="n">
        <v>70</v>
      </c>
      <c r="P664" t="n">
        <v>0.008489999999999999</v>
      </c>
      <c r="Q664" t="n">
        <v>-100</v>
      </c>
      <c r="R664" t="n">
        <v>0.05847</v>
      </c>
      <c r="S664">
        <f>IMAGE("https://mitra.stanford.edu/kundaje/oak/projects/neuro-variants/variant_position/credible/roussos_2024/variant_figures/roussos_2024.adolescence.Astrocyte/rs10894308_count_position.png",4,220,900)</f>
        <v/>
      </c>
      <c r="T664">
        <f>IMAGE("https://mitra.stanford.edu/kundaje/oak/projects/neuro-variants/variant_position/credible/roussos_2024/variant_figures/roussos_2024.adolescence.Astrocyte/rs10894308_profile_position.png",4,220,900)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-0.0477833184</v>
      </c>
      <c r="G665" t="n">
        <v>0.2802960260115147</v>
      </c>
      <c r="H665" t="n">
        <v>0.0114777963329739</v>
      </c>
      <c r="I665" t="n">
        <v>0.604528082527774</v>
      </c>
      <c r="J665" t="n">
        <v>0.0052131857698127</v>
      </c>
      <c r="K665" t="n">
        <v>0.7432318509296248</v>
      </c>
      <c r="L665" t="b">
        <v>0</v>
      </c>
      <c r="M665" t="b">
        <v>0</v>
      </c>
      <c r="N665" t="inlineStr">
        <is>
          <t>ref</t>
        </is>
      </c>
      <c r="O665" t="n">
        <v>-25</v>
      </c>
      <c r="P665" t="n">
        <v>0.0007477</v>
      </c>
      <c r="Q665" t="n">
        <v>45</v>
      </c>
      <c r="R665" t="n">
        <v>0.0854</v>
      </c>
      <c r="S665">
        <f>IMAGE("https://mitra.stanford.edu/kundaje/oak/projects/neuro-variants/variant_position/credible/roussos_2024/variant_figures/roussos_2024.adolescence.Astrocyte/rs74349870_count_position.png",4,220,900)</f>
        <v/>
      </c>
      <c r="T665">
        <f>IMAGE("https://mitra.stanford.edu/kundaje/oak/projects/neuro-variants/variant_position/credible/roussos_2024/variant_figures/roussos_2024.adolescence.Astrocyte/rs74349870_profile_position.png",4,220,900)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-0.0172710859999999</v>
      </c>
      <c r="G666" t="n">
        <v>0.6060682118483345</v>
      </c>
      <c r="H666" t="n">
        <v>0.0336952313017017</v>
      </c>
      <c r="I666" t="n">
        <v>0.0199959516107848</v>
      </c>
      <c r="J666" t="n">
        <v>0.0013047799899118</v>
      </c>
      <c r="K666" t="n">
        <v>0.8624517040648911</v>
      </c>
      <c r="L666" t="b">
        <v>0</v>
      </c>
      <c r="M666" t="b">
        <v>0</v>
      </c>
      <c r="N666" t="inlineStr">
        <is>
          <t>ref</t>
        </is>
      </c>
      <c r="O666" t="n">
        <v>-75</v>
      </c>
      <c r="P666" t="n">
        <v>0.004272</v>
      </c>
      <c r="Q666" t="n">
        <v>-55</v>
      </c>
      <c r="R666" t="n">
        <v>0.0979</v>
      </c>
      <c r="S666">
        <f>IMAGE("https://mitra.stanford.edu/kundaje/oak/projects/neuro-variants/variant_position/credible/roussos_2024/variant_figures/roussos_2024.adolescence.Astrocyte/rs540409_count_position.png",4,220,900)</f>
        <v/>
      </c>
      <c r="T666">
        <f>IMAGE("https://mitra.stanford.edu/kundaje/oak/projects/neuro-variants/variant_position/credible/roussos_2024/variant_figures/roussos_2024.adolescence.Astrocyte/rs540409_profile_position.png",4,220,900)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0.0587901584199999</v>
      </c>
      <c r="G667" t="n">
        <v>0.2308165043173625</v>
      </c>
      <c r="H667" t="n">
        <v>0.0230663626498467</v>
      </c>
      <c r="I667" t="n">
        <v>0.1091821410735969</v>
      </c>
      <c r="J667" t="n">
        <v>0.3337469958163962</v>
      </c>
      <c r="K667" t="n">
        <v>0.1166015188084906</v>
      </c>
      <c r="L667" t="b">
        <v>0</v>
      </c>
      <c r="M667" t="b">
        <v>0</v>
      </c>
      <c r="N667" t="inlineStr">
        <is>
          <t>alt</t>
        </is>
      </c>
      <c r="O667" t="n">
        <v>90</v>
      </c>
      <c r="P667" t="n">
        <v>0.008019999999999999</v>
      </c>
      <c r="Q667" t="n">
        <v>90</v>
      </c>
      <c r="R667" t="n">
        <v>0.143</v>
      </c>
      <c r="S667">
        <f>IMAGE("https://mitra.stanford.edu/kundaje/oak/projects/neuro-variants/variant_position/credible/roussos_2024/variant_figures/roussos_2024.adolescence.Astrocyte/rs407056_count_position.png",4,220,900)</f>
        <v/>
      </c>
      <c r="T667">
        <f>IMAGE("https://mitra.stanford.edu/kundaje/oak/projects/neuro-variants/variant_position/credible/roussos_2024/variant_figures/roussos_2024.adolescence.Astrocyte/rs407056_profile_position.png",4,220,900)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0.112649158</v>
      </c>
      <c r="G668" t="n">
        <v>0.06504118338297731</v>
      </c>
      <c r="H668" t="n">
        <v>0.0182524255301308</v>
      </c>
      <c r="I668" t="n">
        <v>0.181905270680698</v>
      </c>
      <c r="J668" t="n">
        <v>0.3888919384031095</v>
      </c>
      <c r="K668" t="n">
        <v>0.09239012805924331</v>
      </c>
      <c r="L668" t="b">
        <v>0</v>
      </c>
      <c r="M668" t="b">
        <v>0</v>
      </c>
      <c r="N668" t="inlineStr">
        <is>
          <t>alt</t>
        </is>
      </c>
      <c r="O668" t="n">
        <v>-50</v>
      </c>
      <c r="P668" t="n">
        <v>0.008545000000000001</v>
      </c>
      <c r="Q668" t="n">
        <v>-50</v>
      </c>
      <c r="R668" t="n">
        <v>0.11255</v>
      </c>
      <c r="S668">
        <f>IMAGE("https://mitra.stanford.edu/kundaje/oak/projects/neuro-variants/variant_position/credible/roussos_2024/variant_figures/roussos_2024.adolescence.Astrocyte/rs408376_count_position.png",4,220,900)</f>
        <v/>
      </c>
      <c r="T668">
        <f>IMAGE("https://mitra.stanford.edu/kundaje/oak/projects/neuro-variants/variant_position/credible/roussos_2024/variant_figures/roussos_2024.adolescence.Astrocyte/rs408376_profile_position.png",4,220,900)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0.0108868971</v>
      </c>
      <c r="G669" t="n">
        <v>0.6702026075983972</v>
      </c>
      <c r="H669" t="n">
        <v>0.0069081778118471</v>
      </c>
      <c r="I669" t="n">
        <v>0.9818630400994528</v>
      </c>
      <c r="J669" t="n">
        <v>0.0069251995371331</v>
      </c>
      <c r="K669" t="n">
        <v>0.7095152588941576</v>
      </c>
      <c r="L669" t="b">
        <v>0</v>
      </c>
      <c r="M669" t="b">
        <v>0</v>
      </c>
      <c r="N669" t="inlineStr">
        <is>
          <t>alt</t>
        </is>
      </c>
      <c r="O669" t="n">
        <v>-80</v>
      </c>
      <c r="P669" t="n">
        <v>0.009415</v>
      </c>
      <c r="Q669" t="n">
        <v>-100</v>
      </c>
      <c r="R669" t="n">
        <v>0.167</v>
      </c>
      <c r="S669">
        <f>IMAGE("https://mitra.stanford.edu/kundaje/oak/projects/neuro-variants/variant_position/credible/roussos_2024/variant_figures/roussos_2024.adolescence.Astrocyte/rs12279734_count_position.png",4,220,900)</f>
        <v/>
      </c>
      <c r="T669">
        <f>IMAGE("https://mitra.stanford.edu/kundaje/oak/projects/neuro-variants/variant_position/credible/roussos_2024/variant_figures/roussos_2024.adolescence.Astrocyte/rs12279734_profile_position.png",4,220,900)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-0.0011651060319999</v>
      </c>
      <c r="G670" t="n">
        <v>0.7908269734248001</v>
      </c>
      <c r="H670" t="n">
        <v>0.0111291769779214</v>
      </c>
      <c r="I670" t="n">
        <v>0.6269980254173364</v>
      </c>
      <c r="J670" t="n">
        <v>0.0651507284218021</v>
      </c>
      <c r="K670" t="n">
        <v>0.4045873195863819</v>
      </c>
      <c r="L670" t="b">
        <v>0</v>
      </c>
      <c r="M670" t="b">
        <v>0</v>
      </c>
      <c r="N670" t="inlineStr">
        <is>
          <t>ref</t>
        </is>
      </c>
      <c r="O670" t="n">
        <v>-30</v>
      </c>
      <c r="P670" t="n">
        <v>0.001329</v>
      </c>
      <c r="Q670" t="n">
        <v>100</v>
      </c>
      <c r="R670" t="n">
        <v>0.2356</v>
      </c>
      <c r="S670">
        <f>IMAGE("https://mitra.stanford.edu/kundaje/oak/projects/neuro-variants/variant_position/credible/roussos_2024/variant_figures/roussos_2024.adolescence.Astrocyte/rs401560_count_position.png",4,220,900)</f>
        <v/>
      </c>
      <c r="T670">
        <f>IMAGE("https://mitra.stanford.edu/kundaje/oak/projects/neuro-variants/variant_position/credible/roussos_2024/variant_figures/roussos_2024.adolescence.Astrocyte/rs401560_profile_position.png",4,220,900)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-0.2408708899999999</v>
      </c>
      <c r="G671" t="n">
        <v>0.0121296188811773</v>
      </c>
      <c r="H671" t="n">
        <v>0.0307288248907997</v>
      </c>
      <c r="I671" t="n">
        <v>0.0307776916292726</v>
      </c>
      <c r="J671" t="n">
        <v>0.0743005073732308</v>
      </c>
      <c r="K671" t="n">
        <v>0.3850745167069375</v>
      </c>
      <c r="L671" t="b">
        <v>1</v>
      </c>
      <c r="M671" t="b">
        <v>0</v>
      </c>
      <c r="N671" t="inlineStr">
        <is>
          <t>ref</t>
        </is>
      </c>
      <c r="O671" t="n">
        <v>95</v>
      </c>
      <c r="P671" t="n">
        <v>0.0641</v>
      </c>
      <c r="Q671" t="n">
        <v>95</v>
      </c>
      <c r="R671" t="n">
        <v>0.1609</v>
      </c>
      <c r="S671">
        <f>IMAGE("https://mitra.stanford.edu/kundaje/oak/projects/neuro-variants/variant_position/credible/roussos_2024/variant_figures/roussos_2024.adolescence.Astrocyte/rs390812_count_position.png",4,220,900)</f>
        <v/>
      </c>
      <c r="T671">
        <f>IMAGE("https://mitra.stanford.edu/kundaje/oak/projects/neuro-variants/variant_position/credible/roussos_2024/variant_figures/roussos_2024.adolescence.Astrocyte/rs390812_profile_position.png",4,220,900)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0.0177198215</v>
      </c>
      <c r="G672" t="n">
        <v>0.576242968086064</v>
      </c>
      <c r="H672" t="n">
        <v>0.0255384450546023</v>
      </c>
      <c r="I672" t="n">
        <v>0.0579640764213233</v>
      </c>
      <c r="J672" t="n">
        <v>0.0354656855472806</v>
      </c>
      <c r="K672" t="n">
        <v>0.5086981023758734</v>
      </c>
      <c r="L672" t="b">
        <v>0</v>
      </c>
      <c r="M672" t="b">
        <v>0</v>
      </c>
      <c r="N672" t="inlineStr">
        <is>
          <t>alt</t>
        </is>
      </c>
      <c r="O672" t="n">
        <v>35</v>
      </c>
      <c r="P672" t="n">
        <v>0.005165</v>
      </c>
      <c r="Q672" t="n">
        <v>-50</v>
      </c>
      <c r="R672" t="n">
        <v>0.0658</v>
      </c>
      <c r="S672">
        <f>IMAGE("https://mitra.stanford.edu/kundaje/oak/projects/neuro-variants/variant_position/credible/roussos_2024/variant_figures/roussos_2024.adolescence.Astrocyte/rs378523_count_position.png",4,220,900)</f>
        <v/>
      </c>
      <c r="T672">
        <f>IMAGE("https://mitra.stanford.edu/kundaje/oak/projects/neuro-variants/variant_position/credible/roussos_2024/variant_figures/roussos_2024.adolescence.Astrocyte/rs378523_profile_position.png",4,220,900)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0.0016331035599999</v>
      </c>
      <c r="G673" t="n">
        <v>0.722964314118499</v>
      </c>
      <c r="H673" t="n">
        <v>0.0126764302055161</v>
      </c>
      <c r="I673" t="n">
        <v>0.4798573611333929</v>
      </c>
      <c r="J673" t="n">
        <v>0.0223837640566121</v>
      </c>
      <c r="K673" t="n">
        <v>0.5763994714716572</v>
      </c>
      <c r="L673" t="b">
        <v>0</v>
      </c>
      <c r="M673" t="b">
        <v>0</v>
      </c>
      <c r="N673" t="inlineStr">
        <is>
          <t>alt</t>
        </is>
      </c>
      <c r="O673" t="n">
        <v>-45</v>
      </c>
      <c r="P673" t="n">
        <v>0.01464</v>
      </c>
      <c r="Q673" t="n">
        <v>-90</v>
      </c>
      <c r="R673" t="n">
        <v>0.1932</v>
      </c>
      <c r="S673">
        <f>IMAGE("https://mitra.stanford.edu/kundaje/oak/projects/neuro-variants/variant_position/credible/roussos_2024/variant_figures/roussos_2024.adolescence.Astrocyte/rs451456_count_position.png",4,220,900)</f>
        <v/>
      </c>
      <c r="T673">
        <f>IMAGE("https://mitra.stanford.edu/kundaje/oak/projects/neuro-variants/variant_position/credible/roussos_2024/variant_figures/roussos_2024.adolescence.Astrocyte/rs451456_profile_position.png",4,220,900)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0.03525457392</v>
      </c>
      <c r="G674" t="n">
        <v>0.3174112644834595</v>
      </c>
      <c r="H674" t="n">
        <v>0.0161691934694647</v>
      </c>
      <c r="I674" t="n">
        <v>0.2661652555152193</v>
      </c>
      <c r="J674" t="n">
        <v>0.0097928967747677</v>
      </c>
      <c r="K674" t="n">
        <v>0.6786207975173217</v>
      </c>
      <c r="L674" t="b">
        <v>0</v>
      </c>
      <c r="M674" t="b">
        <v>0</v>
      </c>
      <c r="N674" t="inlineStr">
        <is>
          <t>alt</t>
        </is>
      </c>
      <c r="O674" t="n">
        <v>100</v>
      </c>
      <c r="P674" t="n">
        <v>0.006065</v>
      </c>
      <c r="Q674" t="n">
        <v>65</v>
      </c>
      <c r="R674" t="n">
        <v>0.07166</v>
      </c>
      <c r="S674">
        <f>IMAGE("https://mitra.stanford.edu/kundaje/oak/projects/neuro-variants/variant_position/credible/roussos_2024/variant_figures/roussos_2024.adolescence.Astrocyte/rs405479_count_position.png",4,220,900)</f>
        <v/>
      </c>
      <c r="T674">
        <f>IMAGE("https://mitra.stanford.edu/kundaje/oak/projects/neuro-variants/variant_position/credible/roussos_2024/variant_figures/roussos_2024.adolescence.Astrocyte/rs405479_profile_position.png",4,220,900)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0.02133579</v>
      </c>
      <c r="G675" t="n">
        <v>0.5019342438867367</v>
      </c>
      <c r="H675" t="n">
        <v>0.0321548948838815</v>
      </c>
      <c r="I675" t="n">
        <v>0.0236601555634181</v>
      </c>
      <c r="J675" t="n">
        <v>0.0133445093908553</v>
      </c>
      <c r="K675" t="n">
        <v>0.6398214011198645</v>
      </c>
      <c r="L675" t="b">
        <v>0</v>
      </c>
      <c r="M675" t="b">
        <v>0</v>
      </c>
      <c r="N675" t="inlineStr">
        <is>
          <t>alt</t>
        </is>
      </c>
      <c r="O675" t="n">
        <v>100</v>
      </c>
      <c r="P675" t="n">
        <v>0.005432</v>
      </c>
      <c r="Q675" t="n">
        <v>100</v>
      </c>
      <c r="R675" t="n">
        <v>0.1655</v>
      </c>
      <c r="S675">
        <f>IMAGE("https://mitra.stanford.edu/kundaje/oak/projects/neuro-variants/variant_position/credible/roussos_2024/variant_figures/roussos_2024.adolescence.Astrocyte/rs426913_count_position.png",4,220,900)</f>
        <v/>
      </c>
      <c r="T675">
        <f>IMAGE("https://mitra.stanford.edu/kundaje/oak/projects/neuro-variants/variant_position/credible/roussos_2024/variant_figures/roussos_2024.adolescence.Astrocyte/rs426913_profile_position.png",4,220,900)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-0.0204682452599999</v>
      </c>
      <c r="G676" t="n">
        <v>0.5664895699221961</v>
      </c>
      <c r="H676" t="n">
        <v>0.0264504773682769</v>
      </c>
      <c r="I676" t="n">
        <v>0.0511946383246813</v>
      </c>
      <c r="J676" t="n">
        <v>0.0014887398747885</v>
      </c>
      <c r="K676" t="n">
        <v>0.8458240851313672</v>
      </c>
      <c r="L676" t="b">
        <v>0</v>
      </c>
      <c r="M676" t="b">
        <v>0</v>
      </c>
      <c r="N676" t="inlineStr">
        <is>
          <t>ref</t>
        </is>
      </c>
      <c r="O676" t="n">
        <v>70</v>
      </c>
      <c r="P676" t="n">
        <v>0.01033</v>
      </c>
      <c r="Q676" t="n">
        <v>-30</v>
      </c>
      <c r="R676" t="n">
        <v>0.04523</v>
      </c>
      <c r="S676">
        <f>IMAGE("https://mitra.stanford.edu/kundaje/oak/projects/neuro-variants/variant_position/credible/roussos_2024/variant_figures/roussos_2024.adolescence.Astrocyte/rs7119976_count_position.png",4,220,900)</f>
        <v/>
      </c>
      <c r="T676">
        <f>IMAGE("https://mitra.stanford.edu/kundaje/oak/projects/neuro-variants/variant_position/credible/roussos_2024/variant_figures/roussos_2024.adolescence.Astrocyte/rs7119976_profile_position.png",4,220,900)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0.046984658</v>
      </c>
      <c r="G677" t="n">
        <v>0.2618108769322242</v>
      </c>
      <c r="H677" t="n">
        <v>0.0194743813562107</v>
      </c>
      <c r="I677" t="n">
        <v>0.1508567443912561</v>
      </c>
      <c r="J677" t="n">
        <v>0.0003857223392575</v>
      </c>
      <c r="K677" t="n">
        <v>0.9380549112016828</v>
      </c>
      <c r="L677" t="b">
        <v>0</v>
      </c>
      <c r="M677" t="b">
        <v>0</v>
      </c>
      <c r="N677" t="inlineStr">
        <is>
          <t>alt</t>
        </is>
      </c>
      <c r="O677" t="n">
        <v>90</v>
      </c>
      <c r="P677" t="n">
        <v>0.001505</v>
      </c>
      <c r="Q677" t="n">
        <v>15</v>
      </c>
      <c r="R677" t="n">
        <v>0.02148</v>
      </c>
      <c r="S677">
        <f>IMAGE("https://mitra.stanford.edu/kundaje/oak/projects/neuro-variants/variant_position/credible/roussos_2024/variant_figures/roussos_2024.adolescence.Astrocyte/rs7106636_count_position.png",4,220,900)</f>
        <v/>
      </c>
      <c r="T677">
        <f>IMAGE("https://mitra.stanford.edu/kundaje/oak/projects/neuro-variants/variant_position/credible/roussos_2024/variant_figures/roussos_2024.adolescence.Astrocyte/rs7106636_profile_position.png",4,220,900)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-0.00242162646</v>
      </c>
      <c r="G678" t="n">
        <v>0.7655083779090581</v>
      </c>
      <c r="H678" t="n">
        <v>0.0395866517738171</v>
      </c>
      <c r="I678" t="n">
        <v>0.0103708346020879</v>
      </c>
      <c r="J678" t="n">
        <v>0.000367177996024</v>
      </c>
      <c r="K678" t="n">
        <v>0.9391827051220126</v>
      </c>
      <c r="L678" t="b">
        <v>0</v>
      </c>
      <c r="M678" t="b">
        <v>0</v>
      </c>
      <c r="N678" t="inlineStr">
        <is>
          <t>ref</t>
        </is>
      </c>
      <c r="O678" t="n">
        <v>-95</v>
      </c>
      <c r="P678" t="n">
        <v>0.01192</v>
      </c>
      <c r="Q678" t="n">
        <v>85</v>
      </c>
      <c r="R678" t="n">
        <v>0.09143</v>
      </c>
      <c r="S678">
        <f>IMAGE("https://mitra.stanford.edu/kundaje/oak/projects/neuro-variants/variant_position/credible/roussos_2024/variant_figures/roussos_2024.adolescence.Astrocyte/rs2155540_count_position.png",4,220,900)</f>
        <v/>
      </c>
      <c r="T678">
        <f>IMAGE("https://mitra.stanford.edu/kundaje/oak/projects/neuro-variants/variant_position/credible/roussos_2024/variant_figures/roussos_2024.adolescence.Astrocyte/rs2155540_profile_position.png",4,220,900)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-0.00327414384</v>
      </c>
      <c r="G679" t="n">
        <v>0.6270649006263109</v>
      </c>
      <c r="H679" t="n">
        <v>0.0249694185023372</v>
      </c>
      <c r="I679" t="n">
        <v>0.0633329581278993</v>
      </c>
      <c r="J679" t="n">
        <v>0.0039180488383823</v>
      </c>
      <c r="K679" t="n">
        <v>0.7744403452869332</v>
      </c>
      <c r="L679" t="b">
        <v>0</v>
      </c>
      <c r="M679" t="b">
        <v>0</v>
      </c>
      <c r="N679" t="inlineStr">
        <is>
          <t>ref</t>
        </is>
      </c>
      <c r="O679" t="n">
        <v>-90</v>
      </c>
      <c r="P679" t="n">
        <v>0.01155</v>
      </c>
      <c r="Q679" t="n">
        <v>-100</v>
      </c>
      <c r="R679" t="n">
        <v>0.1963</v>
      </c>
      <c r="S679">
        <f>IMAGE("https://mitra.stanford.edu/kundaje/oak/projects/neuro-variants/variant_position/credible/roussos_2024/variant_figures/roussos_2024.adolescence.Astrocyte/rs4937706_count_position.png",4,220,900)</f>
        <v/>
      </c>
      <c r="T679">
        <f>IMAGE("https://mitra.stanford.edu/kundaje/oak/projects/neuro-variants/variant_position/credible/roussos_2024/variant_figures/roussos_2024.adolescence.Astrocyte/rs4937706_profile_position.png",4,220,900)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0.126065384</v>
      </c>
      <c r="G680" t="n">
        <v>0.0509145382568358</v>
      </c>
      <c r="H680" t="n">
        <v>0.0230029909920784</v>
      </c>
      <c r="I680" t="n">
        <v>0.0869433158092567</v>
      </c>
      <c r="J680" t="n">
        <v>0.2007566092039284</v>
      </c>
      <c r="K680" t="n">
        <v>0.2047183018825716</v>
      </c>
      <c r="L680" t="b">
        <v>0</v>
      </c>
      <c r="M680" t="b">
        <v>0</v>
      </c>
      <c r="N680" t="inlineStr">
        <is>
          <t>alt</t>
        </is>
      </c>
      <c r="O680" t="n">
        <v>50</v>
      </c>
      <c r="P680" t="n">
        <v>0.00714</v>
      </c>
      <c r="Q680" t="n">
        <v>55</v>
      </c>
      <c r="R680" t="n">
        <v>0.1841</v>
      </c>
      <c r="S680">
        <f>IMAGE("https://mitra.stanford.edu/kundaje/oak/projects/neuro-variants/variant_position/credible/roussos_2024/variant_figures/roussos_2024.adolescence.Astrocyte/rs4310627_count_position.png",4,220,900)</f>
        <v/>
      </c>
      <c r="T680">
        <f>IMAGE("https://mitra.stanford.edu/kundaje/oak/projects/neuro-variants/variant_position/credible/roussos_2024/variant_figures/roussos_2024.adolescence.Astrocyte/rs4310627_profile_position.png",4,220,900)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0.0030400558454</v>
      </c>
      <c r="G681" t="n">
        <v>0.7946520802244423</v>
      </c>
      <c r="H681" t="n">
        <v>0.0267081510509115</v>
      </c>
      <c r="I681" t="n">
        <v>0.0490392385772075</v>
      </c>
      <c r="J681" t="n">
        <v>0.091935436014598</v>
      </c>
      <c r="K681" t="n">
        <v>0.3452327571238787</v>
      </c>
      <c r="L681" t="b">
        <v>0</v>
      </c>
      <c r="M681" t="b">
        <v>0</v>
      </c>
      <c r="N681" t="inlineStr">
        <is>
          <t>alt</t>
        </is>
      </c>
      <c r="O681" t="n">
        <v>0</v>
      </c>
      <c r="P681" t="n">
        <v>0</v>
      </c>
      <c r="Q681" t="n">
        <v>-100</v>
      </c>
      <c r="R681" t="n">
        <v>0.1467</v>
      </c>
      <c r="S681">
        <f>IMAGE("https://mitra.stanford.edu/kundaje/oak/projects/neuro-variants/variant_position/credible/roussos_2024/variant_figures/roussos_2024.adolescence.Astrocyte/rs1939971_count_position.png",4,220,900)</f>
        <v/>
      </c>
      <c r="T681">
        <f>IMAGE("https://mitra.stanford.edu/kundaje/oak/projects/neuro-variants/variant_position/credible/roussos_2024/variant_figures/roussos_2024.adolescence.Astrocyte/rs1939971_profile_position.png",4,220,900)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0.0063109326279999</v>
      </c>
      <c r="G682" t="n">
        <v>0.7940692750884274</v>
      </c>
      <c r="H682" t="n">
        <v>0.0161441306428022</v>
      </c>
      <c r="I682" t="n">
        <v>0.2639335144114548</v>
      </c>
      <c r="J682" t="n">
        <v>0.0889097409726136</v>
      </c>
      <c r="K682" t="n">
        <v>0.3507497583492418</v>
      </c>
      <c r="L682" t="b">
        <v>0</v>
      </c>
      <c r="M682" t="b">
        <v>0</v>
      </c>
      <c r="N682" t="inlineStr">
        <is>
          <t>alt</t>
        </is>
      </c>
      <c r="O682" t="n">
        <v>-5</v>
      </c>
      <c r="P682" t="n">
        <v>0.0003815</v>
      </c>
      <c r="Q682" t="n">
        <v>50</v>
      </c>
      <c r="R682" t="n">
        <v>0.1229</v>
      </c>
      <c r="S682">
        <f>IMAGE("https://mitra.stanford.edu/kundaje/oak/projects/neuro-variants/variant_position/credible/roussos_2024/variant_figures/roussos_2024.adolescence.Astrocyte/rs1939970_count_position.png",4,220,900)</f>
        <v/>
      </c>
      <c r="T682">
        <f>IMAGE("https://mitra.stanford.edu/kundaje/oak/projects/neuro-variants/variant_position/credible/roussos_2024/variant_figures/roussos_2024.adolescence.Astrocyte/rs1939970_profile_position.png",4,220,900)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-0.04105268728</v>
      </c>
      <c r="G683" t="n">
        <v>0.3241147298806012</v>
      </c>
      <c r="H683" t="n">
        <v>0.0135308615983049</v>
      </c>
      <c r="I683" t="n">
        <v>0.4225499060024673</v>
      </c>
      <c r="J683" t="n">
        <v>0.0095584962762958</v>
      </c>
      <c r="K683" t="n">
        <v>0.6857523405028031</v>
      </c>
      <c r="L683" t="b">
        <v>0</v>
      </c>
      <c r="M683" t="b">
        <v>0</v>
      </c>
      <c r="N683" t="inlineStr">
        <is>
          <t>ref</t>
        </is>
      </c>
      <c r="O683" t="n">
        <v>30</v>
      </c>
      <c r="P683" t="n">
        <v>0.002323</v>
      </c>
      <c r="Q683" t="n">
        <v>-100</v>
      </c>
      <c r="R683" t="n">
        <v>0.1527</v>
      </c>
      <c r="S683">
        <f>IMAGE("https://mitra.stanford.edu/kundaje/oak/projects/neuro-variants/variant_position/credible/roussos_2024/variant_figures/roussos_2024.adolescence.Astrocyte/rs644487_count_position.png",4,220,900)</f>
        <v/>
      </c>
      <c r="T683">
        <f>IMAGE("https://mitra.stanford.edu/kundaje/oak/projects/neuro-variants/variant_position/credible/roussos_2024/variant_figures/roussos_2024.adolescence.Astrocyte/rs644487_profile_position.png",4,220,900)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0.0170017354</v>
      </c>
      <c r="G684" t="n">
        <v>0.4131490377634728</v>
      </c>
      <c r="H684" t="n">
        <v>0.0118909088542869</v>
      </c>
      <c r="I684" t="n">
        <v>0.5603017445170446</v>
      </c>
      <c r="J684" t="n">
        <v>0.009875975432454</v>
      </c>
      <c r="K684" t="n">
        <v>0.6791279050602158</v>
      </c>
      <c r="L684" t="b">
        <v>0</v>
      </c>
      <c r="M684" t="b">
        <v>0</v>
      </c>
      <c r="N684" t="inlineStr">
        <is>
          <t>alt</t>
        </is>
      </c>
      <c r="O684" t="n">
        <v>25</v>
      </c>
      <c r="P684" t="n">
        <v>0.001323</v>
      </c>
      <c r="Q684" t="n">
        <v>-100</v>
      </c>
      <c r="R684" t="n">
        <v>0.05798</v>
      </c>
      <c r="S684">
        <f>IMAGE("https://mitra.stanford.edu/kundaje/oak/projects/neuro-variants/variant_position/credible/roussos_2024/variant_figures/roussos_2024.adolescence.Astrocyte/rs644475_count_position.png",4,220,900)</f>
        <v/>
      </c>
      <c r="T684">
        <f>IMAGE("https://mitra.stanford.edu/kundaje/oak/projects/neuro-variants/variant_position/credible/roussos_2024/variant_figures/roussos_2024.adolescence.Astrocyte/rs644475_profile_position.png",4,220,900)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0.0349104132</v>
      </c>
      <c r="G685" t="n">
        <v>0.3437964327821139</v>
      </c>
      <c r="H685" t="n">
        <v>0.0152447086183481</v>
      </c>
      <c r="I685" t="n">
        <v>0.3103998912702651</v>
      </c>
      <c r="J685" t="n">
        <v>0.0036087291932468</v>
      </c>
      <c r="K685" t="n">
        <v>0.7865982869964476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0.01804</v>
      </c>
      <c r="Q685" t="n">
        <v>-45</v>
      </c>
      <c r="R685" t="n">
        <v>0.04547</v>
      </c>
      <c r="S685">
        <f>IMAGE("https://mitra.stanford.edu/kundaje/oak/projects/neuro-variants/variant_position/credible/roussos_2024/variant_figures/roussos_2024.adolescence.Astrocyte/rs654125_count_position.png",4,220,900)</f>
        <v/>
      </c>
      <c r="T685">
        <f>IMAGE("https://mitra.stanford.edu/kundaje/oak/projects/neuro-variants/variant_position/credible/roussos_2024/variant_figures/roussos_2024.adolescence.Astrocyte/rs654125_profile_position.png",4,220,900)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0.0251457912</v>
      </c>
      <c r="G686" t="n">
        <v>0.4532974077936494</v>
      </c>
      <c r="H686" t="n">
        <v>0.0136471821477078</v>
      </c>
      <c r="I686" t="n">
        <v>0.4169055186913394</v>
      </c>
      <c r="J686" t="n">
        <v>0.00126175711361</v>
      </c>
      <c r="K686" t="n">
        <v>0.8869521658539226</v>
      </c>
      <c r="L686" t="b">
        <v>0</v>
      </c>
      <c r="M686" t="b">
        <v>0</v>
      </c>
      <c r="N686" t="inlineStr">
        <is>
          <t>alt</t>
        </is>
      </c>
      <c r="O686" t="n">
        <v>-70</v>
      </c>
      <c r="P686" t="n">
        <v>0.00902</v>
      </c>
      <c r="Q686" t="n">
        <v>-25</v>
      </c>
      <c r="R686" t="n">
        <v>0.05853</v>
      </c>
      <c r="S686">
        <f>IMAGE("https://mitra.stanford.edu/kundaje/oak/projects/neuro-variants/variant_position/credible/roussos_2024/variant_figures/roussos_2024.adolescence.Astrocyte/rs10894572_count_position.png",4,220,900)</f>
        <v/>
      </c>
      <c r="T686">
        <f>IMAGE("https://mitra.stanford.edu/kundaje/oak/projects/neuro-variants/variant_position/credible/roussos_2024/variant_figures/roussos_2024.adolescence.Astrocyte/rs10894572_profile_position.png",4,220,900)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-0.0141697902399999</v>
      </c>
      <c r="G687" t="n">
        <v>0.573889900750717</v>
      </c>
      <c r="H687" t="n">
        <v>0.0104922376767199</v>
      </c>
      <c r="I687" t="n">
        <v>0.7107972689527972</v>
      </c>
      <c r="J687" t="n">
        <v>0.0020969943328486</v>
      </c>
      <c r="K687" t="n">
        <v>0.860441516881045</v>
      </c>
      <c r="L687" t="b">
        <v>0</v>
      </c>
      <c r="M687" t="b">
        <v>0</v>
      </c>
      <c r="N687" t="inlineStr">
        <is>
          <t>ref</t>
        </is>
      </c>
      <c r="O687" t="n">
        <v>-45</v>
      </c>
      <c r="P687" t="n">
        <v>0.003174</v>
      </c>
      <c r="Q687" t="n">
        <v>100</v>
      </c>
      <c r="R687" t="n">
        <v>0.06586</v>
      </c>
      <c r="S687">
        <f>IMAGE("https://mitra.stanford.edu/kundaje/oak/projects/neuro-variants/variant_position/credible/roussos_2024/variant_figures/roussos_2024.adolescence.Astrocyte/rs639254_count_position.png",4,220,900)</f>
        <v/>
      </c>
      <c r="T687">
        <f>IMAGE("https://mitra.stanford.edu/kundaje/oak/projects/neuro-variants/variant_position/credible/roussos_2024/variant_figures/roussos_2024.adolescence.Astrocyte/rs639254_profile_position.png",4,220,900)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-0.0195139062599999</v>
      </c>
      <c r="G688" t="n">
        <v>0.553801445235273</v>
      </c>
      <c r="H688" t="n">
        <v>0.0121460522223468</v>
      </c>
      <c r="I688" t="n">
        <v>0.540346860069325</v>
      </c>
      <c r="J688" t="n">
        <v>0.0015814615909562</v>
      </c>
      <c r="K688" t="n">
        <v>0.8473714747689315</v>
      </c>
      <c r="L688" t="b">
        <v>0</v>
      </c>
      <c r="M688" t="b">
        <v>0</v>
      </c>
      <c r="N688" t="inlineStr">
        <is>
          <t>ref</t>
        </is>
      </c>
      <c r="O688" t="n">
        <v>-95</v>
      </c>
      <c r="P688" t="n">
        <v>0.1567</v>
      </c>
      <c r="Q688" t="n">
        <v>-90</v>
      </c>
      <c r="R688" t="n">
        <v>0.06976</v>
      </c>
      <c r="S688">
        <f>IMAGE("https://mitra.stanford.edu/kundaje/oak/projects/neuro-variants/variant_position/credible/roussos_2024/variant_figures/roussos_2024.adolescence.Astrocyte/rs2508976_count_position.png",4,220,900)</f>
        <v/>
      </c>
      <c r="T688">
        <f>IMAGE("https://mitra.stanford.edu/kundaje/oak/projects/neuro-variants/variant_position/credible/roussos_2024/variant_figures/roussos_2024.adolescence.Astrocyte/rs2508976_profile_position.png",4,220,900)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-0.06926358439999999</v>
      </c>
      <c r="G689" t="n">
        <v>0.1400334518691899</v>
      </c>
      <c r="H689" t="n">
        <v>0.0190182904959015</v>
      </c>
      <c r="I689" t="n">
        <v>0.1693127778482794</v>
      </c>
      <c r="J689" t="n">
        <v>0.0637739963801441</v>
      </c>
      <c r="K689" t="n">
        <v>0.410608223211428</v>
      </c>
      <c r="L689" t="b">
        <v>0</v>
      </c>
      <c r="M689" t="b">
        <v>0</v>
      </c>
      <c r="N689" t="inlineStr">
        <is>
          <t>ref</t>
        </is>
      </c>
      <c r="O689" t="n">
        <v>-5</v>
      </c>
      <c r="P689" t="n">
        <v>0.0002518</v>
      </c>
      <c r="Q689" t="n">
        <v>-30</v>
      </c>
      <c r="R689" t="n">
        <v>0.0293</v>
      </c>
      <c r="S689">
        <f>IMAGE("https://mitra.stanford.edu/kundaje/oak/projects/neuro-variants/variant_position/credible/roussos_2024/variant_figures/roussos_2024.adolescence.Astrocyte/rs2509229_count_position.png",4,220,900)</f>
        <v/>
      </c>
      <c r="T689">
        <f>IMAGE("https://mitra.stanford.edu/kundaje/oak/projects/neuro-variants/variant_position/credible/roussos_2024/variant_figures/roussos_2024.adolescence.Astrocyte/rs2509229_profile_position.png",4,220,900)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0.01430170234</v>
      </c>
      <c r="G690" t="n">
        <v>0.6275133023497735</v>
      </c>
      <c r="H690" t="n">
        <v>0.0283761765120969</v>
      </c>
      <c r="I690" t="n">
        <v>0.0389423211097234</v>
      </c>
      <c r="J690" t="n">
        <v>0.0035879595288252</v>
      </c>
      <c r="K690" t="n">
        <v>0.7799365986627744</v>
      </c>
      <c r="L690" t="b">
        <v>0</v>
      </c>
      <c r="M690" t="b">
        <v>0</v>
      </c>
      <c r="N690" t="inlineStr">
        <is>
          <t>alt</t>
        </is>
      </c>
      <c r="O690" t="n">
        <v>-100</v>
      </c>
      <c r="P690" t="n">
        <v>0.00812</v>
      </c>
      <c r="Q690" t="n">
        <v>-100</v>
      </c>
      <c r="R690" t="n">
        <v>0.1528</v>
      </c>
      <c r="S690">
        <f>IMAGE("https://mitra.stanford.edu/kundaje/oak/projects/neuro-variants/variant_position/credible/roussos_2024/variant_figures/roussos_2024.adolescence.Astrocyte/rs2509228_count_position.png",4,220,900)</f>
        <v/>
      </c>
      <c r="T690">
        <f>IMAGE("https://mitra.stanford.edu/kundaje/oak/projects/neuro-variants/variant_position/credible/roussos_2024/variant_figures/roussos_2024.adolescence.Astrocyte/rs2509228_profile_position.png",4,220,900)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0.01690827966</v>
      </c>
      <c r="G691" t="n">
        <v>0.5613425771259779</v>
      </c>
      <c r="H691" t="n">
        <v>0.008580453813417</v>
      </c>
      <c r="I691" t="n">
        <v>0.8874375382375347</v>
      </c>
      <c r="J691" t="n">
        <v>0.0055262142835948</v>
      </c>
      <c r="K691" t="n">
        <v>0.7278682840060168</v>
      </c>
      <c r="L691" t="b">
        <v>0</v>
      </c>
      <c r="M691" t="b">
        <v>0</v>
      </c>
      <c r="N691" t="inlineStr">
        <is>
          <t>alt</t>
        </is>
      </c>
      <c r="O691" t="n">
        <v>55</v>
      </c>
      <c r="P691" t="n">
        <v>0.01643</v>
      </c>
      <c r="Q691" t="n">
        <v>95</v>
      </c>
      <c r="R691" t="n">
        <v>0.0864</v>
      </c>
      <c r="S691">
        <f>IMAGE("https://mitra.stanford.edu/kundaje/oak/projects/neuro-variants/variant_position/credible/roussos_2024/variant_figures/roussos_2024.adolescence.Astrocyte/rs2512706_count_position.png",4,220,900)</f>
        <v/>
      </c>
      <c r="T691">
        <f>IMAGE("https://mitra.stanford.edu/kundaje/oak/projects/neuro-variants/variant_position/credible/roussos_2024/variant_figures/roussos_2024.adolescence.Astrocyte/rs2512706_profile_position.png",4,220,900)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-0.023496561</v>
      </c>
      <c r="G692" t="n">
        <v>0.4301278376308117</v>
      </c>
      <c r="H692" t="n">
        <v>0.0080351133565529</v>
      </c>
      <c r="I692" t="n">
        <v>0.9274790091285872</v>
      </c>
      <c r="J692" t="n">
        <v>9.791413227308171e-05</v>
      </c>
      <c r="K692" t="n">
        <v>0.980858414232724</v>
      </c>
      <c r="L692" t="b">
        <v>0</v>
      </c>
      <c r="M692" t="b">
        <v>0</v>
      </c>
      <c r="N692" t="inlineStr">
        <is>
          <t>ref</t>
        </is>
      </c>
      <c r="O692" t="n">
        <v>-40</v>
      </c>
      <c r="P692" t="n">
        <v>0.0098</v>
      </c>
      <c r="Q692" t="n">
        <v>90</v>
      </c>
      <c r="R692" t="n">
        <v>0.02313</v>
      </c>
      <c r="S692">
        <f>IMAGE("https://mitra.stanford.edu/kundaje/oak/projects/neuro-variants/variant_position/credible/roussos_2024/variant_figures/roussos_2024.adolescence.Astrocyte/rs55945016_count_position.png",4,220,900)</f>
        <v/>
      </c>
      <c r="T692">
        <f>IMAGE("https://mitra.stanford.edu/kundaje/oak/projects/neuro-variants/variant_position/credible/roussos_2024/variant_figures/roussos_2024.adolescence.Astrocyte/rs55945016_profile_position.png",4,220,900)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-0.1363340972</v>
      </c>
      <c r="G693" t="n">
        <v>0.0472851557452643</v>
      </c>
      <c r="H693" t="n">
        <v>0.0276961530237972</v>
      </c>
      <c r="I693" t="n">
        <v>0.0466811694629724</v>
      </c>
      <c r="J693" t="n">
        <v>0.0173167077114796</v>
      </c>
      <c r="K693" t="n">
        <v>0.6112462156194255</v>
      </c>
      <c r="L693" t="b">
        <v>0</v>
      </c>
      <c r="M693" t="b">
        <v>0</v>
      </c>
      <c r="N693" t="inlineStr">
        <is>
          <t>ref</t>
        </is>
      </c>
      <c r="O693" t="n">
        <v>50</v>
      </c>
      <c r="P693" t="n">
        <v>0.002403</v>
      </c>
      <c r="Q693" t="n">
        <v>-100</v>
      </c>
      <c r="R693" t="n">
        <v>0.11566</v>
      </c>
      <c r="S693">
        <f>IMAGE("https://mitra.stanford.edu/kundaje/oak/projects/neuro-variants/variant_position/credible/roussos_2024/variant_figures/roussos_2024.adolescence.Astrocyte/rs73035374_count_position.png",4,220,900)</f>
        <v/>
      </c>
      <c r="T693">
        <f>IMAGE("https://mitra.stanford.edu/kundaje/oak/projects/neuro-variants/variant_position/credible/roussos_2024/variant_figures/roussos_2024.adolescence.Astrocyte/rs73035374_profile_position.png",4,220,900)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-0.07583626240000001</v>
      </c>
      <c r="G694" t="n">
        <v>0.1330168957779276</v>
      </c>
      <c r="H694" t="n">
        <v>0.0272359175360898</v>
      </c>
      <c r="I694" t="n">
        <v>0.0453823833406253</v>
      </c>
      <c r="J694" t="n">
        <v>0.0146774767824822</v>
      </c>
      <c r="K694" t="n">
        <v>0.6091828274810223</v>
      </c>
      <c r="L694" t="b">
        <v>0</v>
      </c>
      <c r="M694" t="b">
        <v>0</v>
      </c>
      <c r="N694" t="inlineStr">
        <is>
          <t>ref</t>
        </is>
      </c>
      <c r="O694" t="n">
        <v>15</v>
      </c>
      <c r="P694" t="n">
        <v>0.003448</v>
      </c>
      <c r="Q694" t="n">
        <v>15</v>
      </c>
      <c r="R694" t="n">
        <v>0.021</v>
      </c>
      <c r="S694">
        <f>IMAGE("https://mitra.stanford.edu/kundaje/oak/projects/neuro-variants/variant_position/credible/roussos_2024/variant_figures/roussos_2024.adolescence.Astrocyte/rs6590647_count_position.png",4,220,900)</f>
        <v/>
      </c>
      <c r="T694">
        <f>IMAGE("https://mitra.stanford.edu/kundaje/oak/projects/neuro-variants/variant_position/credible/roussos_2024/variant_figures/roussos_2024.adolescence.Astrocyte/rs6590647_profile_position.png",4,220,900)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0.0452726062</v>
      </c>
      <c r="G695" t="n">
        <v>0.1951480438580776</v>
      </c>
      <c r="H695" t="n">
        <v>0.0208564568554998</v>
      </c>
      <c r="I695" t="n">
        <v>0.1309021168537459</v>
      </c>
      <c r="J695" t="n">
        <v>0.0842276651930095</v>
      </c>
      <c r="K695" t="n">
        <v>0.3499163688376814</v>
      </c>
      <c r="L695" t="b">
        <v>0</v>
      </c>
      <c r="M695" t="b">
        <v>0</v>
      </c>
      <c r="N695" t="inlineStr">
        <is>
          <t>alt</t>
        </is>
      </c>
      <c r="O695" t="n">
        <v>100</v>
      </c>
      <c r="P695" t="n">
        <v>0.00583</v>
      </c>
      <c r="Q695" t="n">
        <v>0</v>
      </c>
      <c r="R695" t="n">
        <v>0</v>
      </c>
      <c r="S695">
        <f>IMAGE("https://mitra.stanford.edu/kundaje/oak/projects/neuro-variants/variant_position/credible/roussos_2024/variant_figures/roussos_2024.adolescence.Astrocyte/rs3862599_count_position.png",4,220,900)</f>
        <v/>
      </c>
      <c r="T695">
        <f>IMAGE("https://mitra.stanford.edu/kundaje/oak/projects/neuro-variants/variant_position/credible/roussos_2024/variant_figures/roussos_2024.adolescence.Astrocyte/rs3862599_profile_position.png",4,220,900)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-0.0059557417399999</v>
      </c>
      <c r="G696" t="n">
        <v>0.5419469570359039</v>
      </c>
      <c r="H696" t="n">
        <v>0.0250252311343226</v>
      </c>
      <c r="I696" t="n">
        <v>0.0633856580120753</v>
      </c>
      <c r="J696" t="n">
        <v>0.10341364270243</v>
      </c>
      <c r="K696" t="n">
        <v>0.3187297626427811</v>
      </c>
      <c r="L696" t="b">
        <v>0</v>
      </c>
      <c r="M696" t="b">
        <v>0</v>
      </c>
      <c r="N696" t="inlineStr">
        <is>
          <t>ref</t>
        </is>
      </c>
      <c r="O696" t="n">
        <v>-35</v>
      </c>
      <c r="P696" t="n">
        <v>0.005497</v>
      </c>
      <c r="Q696" t="n">
        <v>-70</v>
      </c>
      <c r="R696" t="n">
        <v>0.2273</v>
      </c>
      <c r="S696">
        <f>IMAGE("https://mitra.stanford.edu/kundaje/oak/projects/neuro-variants/variant_position/credible/roussos_2024/variant_figures/roussos_2024.adolescence.Astrocyte/rs3018396_count_position.png",4,220,900)</f>
        <v/>
      </c>
      <c r="T696">
        <f>IMAGE("https://mitra.stanford.edu/kundaje/oak/projects/neuro-variants/variant_position/credible/roussos_2024/variant_figures/roussos_2024.adolescence.Astrocyte/rs3018396_profile_position.png",4,220,900)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-0.0424822308</v>
      </c>
      <c r="G697" t="n">
        <v>0.3058138637415585</v>
      </c>
      <c r="H697" t="n">
        <v>0.009696235935959901</v>
      </c>
      <c r="I697" t="n">
        <v>0.7851536388469862</v>
      </c>
      <c r="J697" t="n">
        <v>0.000301901907842</v>
      </c>
      <c r="K697" t="n">
        <v>0.9397429104511924</v>
      </c>
      <c r="L697" t="b">
        <v>0</v>
      </c>
      <c r="M697" t="b">
        <v>0</v>
      </c>
      <c r="N697" t="inlineStr">
        <is>
          <t>ref</t>
        </is>
      </c>
      <c r="O697" t="n">
        <v>-100</v>
      </c>
      <c r="P697" t="n">
        <v>0.04822</v>
      </c>
      <c r="Q697" t="n">
        <v>-20</v>
      </c>
      <c r="R697" t="n">
        <v>0.04523</v>
      </c>
      <c r="S697">
        <f>IMAGE("https://mitra.stanford.edu/kundaje/oak/projects/neuro-variants/variant_position/credible/roussos_2024/variant_figures/roussos_2024.adolescence.Astrocyte/rs1940148_count_position.png",4,220,900)</f>
        <v/>
      </c>
      <c r="T697">
        <f>IMAGE("https://mitra.stanford.edu/kundaje/oak/projects/neuro-variants/variant_position/credible/roussos_2024/variant_figures/roussos_2024.adolescence.Astrocyte/rs1940148_profile_position.png",4,220,900)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0.0729895954</v>
      </c>
      <c r="G698" t="n">
        <v>0.1294918917962217</v>
      </c>
      <c r="H698" t="n">
        <v>0.0149862028229999</v>
      </c>
      <c r="I698" t="n">
        <v>0.3208976986321908</v>
      </c>
      <c r="J698" t="n">
        <v>0.0007899890217487</v>
      </c>
      <c r="K698" t="n">
        <v>0.9045485177529694</v>
      </c>
      <c r="L698" t="b">
        <v>0</v>
      </c>
      <c r="M698" t="b">
        <v>0</v>
      </c>
      <c r="N698" t="inlineStr">
        <is>
          <t>alt</t>
        </is>
      </c>
      <c r="O698" t="n">
        <v>100</v>
      </c>
      <c r="P698" t="n">
        <v>0.00441</v>
      </c>
      <c r="Q698" t="n">
        <v>90</v>
      </c>
      <c r="R698" t="n">
        <v>0.0501</v>
      </c>
      <c r="S698">
        <f>IMAGE("https://mitra.stanford.edu/kundaje/oak/projects/neuro-variants/variant_position/credible/roussos_2024/variant_figures/roussos_2024.adolescence.Astrocyte/rs1939515_count_position.png",4,220,900)</f>
        <v/>
      </c>
      <c r="T698">
        <f>IMAGE("https://mitra.stanford.edu/kundaje/oak/projects/neuro-variants/variant_position/credible/roussos_2024/variant_figures/roussos_2024.adolescence.Astrocyte/rs1939515_profile_position.png",4,220,900)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0.0012265046</v>
      </c>
      <c r="G699" t="n">
        <v>0.3005532828150358</v>
      </c>
      <c r="H699" t="n">
        <v>0.0273205320992988</v>
      </c>
      <c r="I699" t="n">
        <v>0.0468302509285657</v>
      </c>
      <c r="J699" t="n">
        <v>0.1779619025012609</v>
      </c>
      <c r="K699" t="n">
        <v>0.2260217271850614</v>
      </c>
      <c r="L699" t="b">
        <v>0</v>
      </c>
      <c r="M699" t="b">
        <v>0</v>
      </c>
      <c r="N699" t="inlineStr">
        <is>
          <t>alt</t>
        </is>
      </c>
      <c r="O699" t="n">
        <v>-80</v>
      </c>
      <c r="P699" t="n">
        <v>0.01721</v>
      </c>
      <c r="Q699" t="n">
        <v>55</v>
      </c>
      <c r="R699" t="n">
        <v>0.06444999999999999</v>
      </c>
      <c r="S699">
        <f>IMAGE("https://mitra.stanford.edu/kundaje/oak/projects/neuro-variants/variant_position/credible/roussos_2024/variant_figures/roussos_2024.adolescence.Astrocyte/rs7946883_count_position.png",4,220,900)</f>
        <v/>
      </c>
      <c r="T699">
        <f>IMAGE("https://mitra.stanford.edu/kundaje/oak/projects/neuro-variants/variant_position/credible/roussos_2024/variant_figures/roussos_2024.adolescence.Astrocyte/rs7946883_profile_position.png",4,220,900)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-0.0069019763599999</v>
      </c>
      <c r="G700" t="n">
        <v>0.8329946677939672</v>
      </c>
      <c r="H700" t="n">
        <v>0.0110743476045364</v>
      </c>
      <c r="I700" t="n">
        <v>0.6438879528376498</v>
      </c>
      <c r="J700" t="n">
        <v>0.7071024834584458</v>
      </c>
      <c r="K700" t="n">
        <v>0.0175814814167988</v>
      </c>
      <c r="L700" t="b">
        <v>0</v>
      </c>
      <c r="M700" t="b">
        <v>0</v>
      </c>
      <c r="N700" t="inlineStr">
        <is>
          <t>ref</t>
        </is>
      </c>
      <c r="O700" t="n">
        <v>70</v>
      </c>
      <c r="P700" t="n">
        <v>0.001839</v>
      </c>
      <c r="Q700" t="n">
        <v>-85</v>
      </c>
      <c r="R700" t="n">
        <v>0.04245</v>
      </c>
      <c r="S700">
        <f>IMAGE("https://mitra.stanford.edu/kundaje/oak/projects/neuro-variants/variant_position/credible/roussos_2024/variant_figures/roussos_2024.adolescence.Astrocyte/rs118031494_count_position.png",4,220,900)</f>
        <v/>
      </c>
      <c r="T700">
        <f>IMAGE("https://mitra.stanford.edu/kundaje/oak/projects/neuro-variants/variant_position/credible/roussos_2024/variant_figures/roussos_2024.adolescence.Astrocyte/rs118031494_profile_position.png",4,220,900)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-0.598678274</v>
      </c>
      <c r="G701" t="n">
        <v>0.0005522489624067</v>
      </c>
      <c r="H701" t="n">
        <v>0.0546725035618398</v>
      </c>
      <c r="I701" t="n">
        <v>0.0028533288793769</v>
      </c>
      <c r="J701" t="n">
        <v>0.7088085630359316</v>
      </c>
      <c r="K701" t="n">
        <v>0.0171334411517053</v>
      </c>
      <c r="L701" t="b">
        <v>1</v>
      </c>
      <c r="M701" t="b">
        <v>1</v>
      </c>
      <c r="N701" t="inlineStr">
        <is>
          <t>ref</t>
        </is>
      </c>
      <c r="O701" t="n">
        <v>-70</v>
      </c>
      <c r="P701" t="n">
        <v>0.00842</v>
      </c>
      <c r="Q701" t="n">
        <v>-75</v>
      </c>
      <c r="R701" t="n">
        <v>0.1562</v>
      </c>
      <c r="S701">
        <f>IMAGE("https://mitra.stanford.edu/kundaje/oak/projects/neuro-variants/variant_position/credible/roussos_2024/variant_figures/roussos_2024.adolescence.Astrocyte/rs73034295_count_position.png",4,220,900)</f>
        <v/>
      </c>
      <c r="T701">
        <f>IMAGE("https://mitra.stanford.edu/kundaje/oak/projects/neuro-variants/variant_position/credible/roussos_2024/variant_figures/roussos_2024.adolescence.Astrocyte/rs73034295_profile_position.png",4,220,900)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0.0420750646</v>
      </c>
      <c r="G702" t="n">
        <v>0.3494777694023398</v>
      </c>
      <c r="H702" t="n">
        <v>0.0173256606210204</v>
      </c>
      <c r="I702" t="n">
        <v>0.2136051024562167</v>
      </c>
      <c r="J702" t="n">
        <v>0.3122452007239711</v>
      </c>
      <c r="K702" t="n">
        <v>0.1272581438068119</v>
      </c>
      <c r="L702" t="b">
        <v>0</v>
      </c>
      <c r="M702" t="b">
        <v>0</v>
      </c>
      <c r="N702" t="inlineStr">
        <is>
          <t>alt</t>
        </is>
      </c>
      <c r="O702" t="n">
        <v>-10</v>
      </c>
      <c r="P702" t="n">
        <v>0.001434</v>
      </c>
      <c r="Q702" t="n">
        <v>40</v>
      </c>
      <c r="R702" t="n">
        <v>0.03516</v>
      </c>
      <c r="S702">
        <f>IMAGE("https://mitra.stanford.edu/kundaje/oak/projects/neuro-variants/variant_position/credible/roussos_2024/variant_figures/roussos_2024.adolescence.Astrocyte/rs73036081_count_position.png",4,220,900)</f>
        <v/>
      </c>
      <c r="T702">
        <f>IMAGE("https://mitra.stanford.edu/kundaje/oak/projects/neuro-variants/variant_position/credible/roussos_2024/variant_figures/roussos_2024.adolescence.Astrocyte/rs73036081_profile_position.png",4,220,900)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0.204877742</v>
      </c>
      <c r="G703" t="n">
        <v>0.0181834587427211</v>
      </c>
      <c r="H703" t="n">
        <v>0.0307812342827367</v>
      </c>
      <c r="I703" t="n">
        <v>0.030932652430972</v>
      </c>
      <c r="J703" t="n">
        <v>0.377584339673026</v>
      </c>
      <c r="K703" t="n">
        <v>0.0967066711914497</v>
      </c>
      <c r="L703" t="b">
        <v>1</v>
      </c>
      <c r="M703" t="b">
        <v>0</v>
      </c>
      <c r="N703" t="inlineStr">
        <is>
          <t>alt</t>
        </is>
      </c>
      <c r="O703" t="n">
        <v>25</v>
      </c>
      <c r="P703" t="n">
        <v>0.001434</v>
      </c>
      <c r="Q703" t="n">
        <v>-10</v>
      </c>
      <c r="R703" t="n">
        <v>0.02783</v>
      </c>
      <c r="S703">
        <f>IMAGE("https://mitra.stanford.edu/kundaje/oak/projects/neuro-variants/variant_position/credible/roussos_2024/variant_figures/roussos_2024.adolescence.Astrocyte/rs11223655_count_position.png",4,220,900)</f>
        <v/>
      </c>
      <c r="T703">
        <f>IMAGE("https://mitra.stanford.edu/kundaje/oak/projects/neuro-variants/variant_position/credible/roussos_2024/variant_figures/roussos_2024.adolescence.Astrocyte/rs11223655_profile_position.png",4,220,900)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-0.0495325694</v>
      </c>
      <c r="G704" t="n">
        <v>0.2585312094808201</v>
      </c>
      <c r="H704" t="n">
        <v>0.0154717944496584</v>
      </c>
      <c r="I704" t="n">
        <v>0.2992999399684697</v>
      </c>
      <c r="J704" t="n">
        <v>0.503587217755096</v>
      </c>
      <c r="K704" t="n">
        <v>0.0548221012790835</v>
      </c>
      <c r="L704" t="b">
        <v>0</v>
      </c>
      <c r="M704" t="b">
        <v>0</v>
      </c>
      <c r="N704" t="inlineStr">
        <is>
          <t>ref</t>
        </is>
      </c>
      <c r="O704" t="n">
        <v>-100</v>
      </c>
      <c r="P704" t="n">
        <v>0.006653</v>
      </c>
      <c r="Q704" t="n">
        <v>-100</v>
      </c>
      <c r="R704" t="n">
        <v>0.1984</v>
      </c>
      <c r="S704">
        <f>IMAGE("https://mitra.stanford.edu/kundaje/oak/projects/neuro-variants/variant_position/credible/roussos_2024/variant_figures/roussos_2024.adolescence.Astrocyte/rs4936216_count_position.png",4,220,900)</f>
        <v/>
      </c>
      <c r="T704">
        <f>IMAGE("https://mitra.stanford.edu/kundaje/oak/projects/neuro-variants/variant_position/credible/roussos_2024/variant_figures/roussos_2024.adolescence.Astrocyte/rs4936216_profile_position.png",4,220,900)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0.0088831232399999</v>
      </c>
      <c r="G705" t="n">
        <v>0.337676605538307</v>
      </c>
      <c r="H705" t="n">
        <v>0.0122319414544799</v>
      </c>
      <c r="I705" t="n">
        <v>0.5354023417319776</v>
      </c>
      <c r="J705" t="n">
        <v>0.0146500311544965</v>
      </c>
      <c r="K705" t="n">
        <v>0.6218396260771916</v>
      </c>
      <c r="L705" t="b">
        <v>0</v>
      </c>
      <c r="M705" t="b">
        <v>0</v>
      </c>
      <c r="N705" t="inlineStr">
        <is>
          <t>alt</t>
        </is>
      </c>
      <c r="O705" t="n">
        <v>-95</v>
      </c>
      <c r="P705" t="n">
        <v>0.04614</v>
      </c>
      <c r="Q705" t="n">
        <v>-95</v>
      </c>
      <c r="R705" t="n">
        <v>0.1726</v>
      </c>
      <c r="S705">
        <f>IMAGE("https://mitra.stanford.edu/kundaje/oak/projects/neuro-variants/variant_position/credible/roussos_2024/variant_figures/roussos_2024.adolescence.Astrocyte/rs470536_count_position.png",4,220,900)</f>
        <v/>
      </c>
      <c r="T705">
        <f>IMAGE("https://mitra.stanford.edu/kundaje/oak/projects/neuro-variants/variant_position/credible/roussos_2024/variant_figures/roussos_2024.adolescence.Astrocyte/rs470536_profile_position.png",4,220,900)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-0.02771133518</v>
      </c>
      <c r="G706" t="n">
        <v>0.4675840369343387</v>
      </c>
      <c r="H706" t="n">
        <v>0.0333151249419031</v>
      </c>
      <c r="I706" t="n">
        <v>0.0212328471837456</v>
      </c>
      <c r="J706" t="n">
        <v>0.0034677921846719</v>
      </c>
      <c r="K706" t="n">
        <v>0.7861982378880054</v>
      </c>
      <c r="L706" t="b">
        <v>0</v>
      </c>
      <c r="M706" t="b">
        <v>0</v>
      </c>
      <c r="N706" t="inlineStr">
        <is>
          <t>ref</t>
        </is>
      </c>
      <c r="O706" t="n">
        <v>50</v>
      </c>
      <c r="P706" t="n">
        <v>0.000656</v>
      </c>
      <c r="Q706" t="n">
        <v>-20</v>
      </c>
      <c r="R706" t="n">
        <v>0.07166</v>
      </c>
      <c r="S706">
        <f>IMAGE("https://mitra.stanford.edu/kundaje/oak/projects/neuro-variants/variant_position/credible/roussos_2024/variant_figures/roussos_2024.adolescence.Astrocyte/rs626717_count_position.png",4,220,900)</f>
        <v/>
      </c>
      <c r="T706">
        <f>IMAGE("https://mitra.stanford.edu/kundaje/oak/projects/neuro-variants/variant_position/credible/roussos_2024/variant_figures/roussos_2024.adolescence.Astrocyte/rs626717_profile_position.png",4,220,900)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0.0552474271</v>
      </c>
      <c r="G707" t="n">
        <v>0.2108150022427037</v>
      </c>
      <c r="H707" t="n">
        <v>0.012626541656385</v>
      </c>
      <c r="I707" t="n">
        <v>0.4975448944179649</v>
      </c>
      <c r="J707" t="n">
        <v>0.0130248049135091</v>
      </c>
      <c r="K707" t="n">
        <v>0.6251941503599834</v>
      </c>
      <c r="L707" t="b">
        <v>0</v>
      </c>
      <c r="M707" t="b">
        <v>0</v>
      </c>
      <c r="N707" t="inlineStr">
        <is>
          <t>alt</t>
        </is>
      </c>
      <c r="O707" t="n">
        <v>5</v>
      </c>
      <c r="P707" t="n">
        <v>0.0008545</v>
      </c>
      <c r="Q707" t="n">
        <v>70</v>
      </c>
      <c r="R707" t="n">
        <v>0.05444</v>
      </c>
      <c r="S707">
        <f>IMAGE("https://mitra.stanford.edu/kundaje/oak/projects/neuro-variants/variant_position/credible/roussos_2024/variant_figures/roussos_2024.adolescence.Astrocyte/rs470713_count_position.png",4,220,900)</f>
        <v/>
      </c>
      <c r="T707">
        <f>IMAGE("https://mitra.stanford.edu/kundaje/oak/projects/neuro-variants/variant_position/credible/roussos_2024/variant_figures/roussos_2024.adolescence.Astrocyte/rs470713_profile_position.png",4,220,900)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0.0035176016259999</v>
      </c>
      <c r="G708" t="n">
        <v>0.6295836193219957</v>
      </c>
      <c r="H708" t="n">
        <v>0.009820966799643199</v>
      </c>
      <c r="I708" t="n">
        <v>0.7775975283832119</v>
      </c>
      <c r="J708" t="n">
        <v>0.1518700115716701</v>
      </c>
      <c r="K708" t="n">
        <v>0.25524164987576</v>
      </c>
      <c r="L708" t="b">
        <v>0</v>
      </c>
      <c r="M708" t="b">
        <v>0</v>
      </c>
      <c r="N708" t="inlineStr">
        <is>
          <t>alt</t>
        </is>
      </c>
      <c r="O708" t="n">
        <v>15</v>
      </c>
      <c r="P708" t="n">
        <v>0.001465</v>
      </c>
      <c r="Q708" t="n">
        <v>-100</v>
      </c>
      <c r="R708" t="n">
        <v>0.1394</v>
      </c>
      <c r="S708">
        <f>IMAGE("https://mitra.stanford.edu/kundaje/oak/projects/neuro-variants/variant_position/credible/roussos_2024/variant_figures/roussos_2024.adolescence.Astrocyte/rs10736610_count_position.png",4,220,900)</f>
        <v/>
      </c>
      <c r="T708">
        <f>IMAGE("https://mitra.stanford.edu/kundaje/oak/projects/neuro-variants/variant_position/credible/roussos_2024/variant_figures/roussos_2024.adolescence.Astrocyte/rs10736610_profile_position.png",4,220,900)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-0.00217095686</v>
      </c>
      <c r="G709" t="n">
        <v>0.8121228998357193</v>
      </c>
      <c r="H709" t="n">
        <v>0.0066339979835641</v>
      </c>
      <c r="I709" t="n">
        <v>0.9830383457487304</v>
      </c>
      <c r="J709" t="n">
        <v>0.0138229534462807</v>
      </c>
      <c r="K709" t="n">
        <v>0.6220063977602439</v>
      </c>
      <c r="L709" t="b">
        <v>0</v>
      </c>
      <c r="M709" t="b">
        <v>0</v>
      </c>
      <c r="N709" t="inlineStr">
        <is>
          <t>ref</t>
        </is>
      </c>
      <c r="O709" t="n">
        <v>100</v>
      </c>
      <c r="P709" t="n">
        <v>0.01984</v>
      </c>
      <c r="Q709" t="n">
        <v>65</v>
      </c>
      <c r="R709" t="n">
        <v>0.1611</v>
      </c>
      <c r="S709">
        <f>IMAGE("https://mitra.stanford.edu/kundaje/oak/projects/neuro-variants/variant_position/credible/roussos_2024/variant_figures/roussos_2024.adolescence.Astrocyte/rs11223722_count_position.png",4,220,900)</f>
        <v/>
      </c>
      <c r="T709">
        <f>IMAGE("https://mitra.stanford.edu/kundaje/oak/projects/neuro-variants/variant_position/credible/roussos_2024/variant_figures/roussos_2024.adolescence.Astrocyte/rs11223722_profile_position.png",4,220,900)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-0.0518950347999999</v>
      </c>
      <c r="G710" t="n">
        <v>0.2238201878239374</v>
      </c>
      <c r="H710" t="n">
        <v>0.0226708076417799</v>
      </c>
      <c r="I710" t="n">
        <v>0.09081916104493119</v>
      </c>
      <c r="J710" t="n">
        <v>0.0294810550989525</v>
      </c>
      <c r="K710" t="n">
        <v>0.5155448234779486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0.043</v>
      </c>
      <c r="Q710" t="n">
        <v>-100</v>
      </c>
      <c r="R710" t="n">
        <v>0.1531</v>
      </c>
      <c r="S710">
        <f>IMAGE("https://mitra.stanford.edu/kundaje/oak/projects/neuro-variants/variant_position/credible/roussos_2024/variant_figures/roussos_2024.adolescence.Astrocyte/rs10894782_count_position.png",4,220,900)</f>
        <v/>
      </c>
      <c r="T710">
        <f>IMAGE("https://mitra.stanford.edu/kundaje/oak/projects/neuro-variants/variant_position/credible/roussos_2024/variant_figures/roussos_2024.adolescence.Astrocyte/rs10894782_profile_position.png",4,220,900)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-0.0356933556</v>
      </c>
      <c r="G711" t="n">
        <v>0.3449763906283061</v>
      </c>
      <c r="H711" t="n">
        <v>0.0115390298306143</v>
      </c>
      <c r="I711" t="n">
        <v>0.6035933113838268</v>
      </c>
      <c r="J711" t="n">
        <v>0.5500712102780166</v>
      </c>
      <c r="K711" t="n">
        <v>0.0437263015435028</v>
      </c>
      <c r="L711" t="b">
        <v>0</v>
      </c>
      <c r="M711" t="b">
        <v>0</v>
      </c>
      <c r="N711" t="inlineStr">
        <is>
          <t>ref</t>
        </is>
      </c>
      <c r="O711" t="n">
        <v>50</v>
      </c>
      <c r="P711" t="n">
        <v>0.00953</v>
      </c>
      <c r="Q711" t="n">
        <v>80</v>
      </c>
      <c r="R711" t="n">
        <v>0.08935999999999999</v>
      </c>
      <c r="S711">
        <f>IMAGE("https://mitra.stanford.edu/kundaje/oak/projects/neuro-variants/variant_position/credible/roussos_2024/variant_figures/roussos_2024.adolescence.Astrocyte/rs523621_count_position.png",4,220,900)</f>
        <v/>
      </c>
      <c r="T711">
        <f>IMAGE("https://mitra.stanford.edu/kundaje/oak/projects/neuro-variants/variant_position/credible/roussos_2024/variant_figures/roussos_2024.adolescence.Astrocyte/rs523621_profile_position.png",4,220,900)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-0.0045195068599999</v>
      </c>
      <c r="G712" t="n">
        <v>0.7731871506111196</v>
      </c>
      <c r="H712" t="n">
        <v>0.0444596495308781</v>
      </c>
      <c r="I712" t="n">
        <v>0.0062062149005431</v>
      </c>
      <c r="J712" t="n">
        <v>0.0551634869299468</v>
      </c>
      <c r="K712" t="n">
        <v>0.421747771573979</v>
      </c>
      <c r="L712" t="b">
        <v>1</v>
      </c>
      <c r="M712" t="b">
        <v>1</v>
      </c>
      <c r="N712" t="inlineStr">
        <is>
          <t>ref</t>
        </is>
      </c>
      <c r="O712" t="n">
        <v>-60</v>
      </c>
      <c r="P712" t="n">
        <v>0.0887</v>
      </c>
      <c r="Q712" t="n">
        <v>-70</v>
      </c>
      <c r="R712" t="n">
        <v>0.0747</v>
      </c>
      <c r="S712">
        <f>IMAGE("https://mitra.stanford.edu/kundaje/oak/projects/neuro-variants/variant_position/credible/roussos_2024/variant_figures/roussos_2024.adolescence.Astrocyte/rs543528_count_position.png",4,220,900)</f>
        <v/>
      </c>
      <c r="T712">
        <f>IMAGE("https://mitra.stanford.edu/kundaje/oak/projects/neuro-variants/variant_position/credible/roussos_2024/variant_figures/roussos_2024.adolescence.Astrocyte/rs543528_profile_position.png",4,220,900)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-0.0885498472</v>
      </c>
      <c r="G713" t="n">
        <v>0.1009449432471652</v>
      </c>
      <c r="H713" t="n">
        <v>0.019808406473514</v>
      </c>
      <c r="I713" t="n">
        <v>0.1413009483884858</v>
      </c>
      <c r="J713" t="n">
        <v>0.6195101326291428</v>
      </c>
      <c r="K713" t="n">
        <v>0.0302688699388204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0.009259999999999999</v>
      </c>
      <c r="Q713" t="n">
        <v>85</v>
      </c>
      <c r="R713" t="n">
        <v>0.05493</v>
      </c>
      <c r="S713">
        <f>IMAGE("https://mitra.stanford.edu/kundaje/oak/projects/neuro-variants/variant_position/credible/roussos_2024/variant_figures/roussos_2024.adolescence.Astrocyte/rs7936986_count_position.png",4,220,900)</f>
        <v/>
      </c>
      <c r="T713">
        <f>IMAGE("https://mitra.stanford.edu/kundaje/oak/projects/neuro-variants/variant_position/credible/roussos_2024/variant_figures/roussos_2024.adolescence.Astrocyte/rs7936986_profile_position.png",4,220,900)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-0.0246731953</v>
      </c>
      <c r="G714" t="n">
        <v>0.4764714646384198</v>
      </c>
      <c r="H714" t="n">
        <v>0.0100940622735943</v>
      </c>
      <c r="I714" t="n">
        <v>0.7381038747866039</v>
      </c>
      <c r="J714" t="n">
        <v>0.0617267008871613</v>
      </c>
      <c r="K714" t="n">
        <v>0.4145743492140034</v>
      </c>
      <c r="L714" t="b">
        <v>0</v>
      </c>
      <c r="M714" t="b">
        <v>0</v>
      </c>
      <c r="N714" t="inlineStr">
        <is>
          <t>ref</t>
        </is>
      </c>
      <c r="O714" t="n">
        <v>-95</v>
      </c>
      <c r="P714" t="n">
        <v>0.003838</v>
      </c>
      <c r="Q714" t="n">
        <v>-75</v>
      </c>
      <c r="R714" t="n">
        <v>0.01672</v>
      </c>
      <c r="S714">
        <f>IMAGE("https://mitra.stanford.edu/kundaje/oak/projects/neuro-variants/variant_position/credible/roussos_2024/variant_figures/roussos_2024.adolescence.Astrocyte/rs10894852_count_position.png",4,220,900)</f>
        <v/>
      </c>
      <c r="T714">
        <f>IMAGE("https://mitra.stanford.edu/kundaje/oak/projects/neuro-variants/variant_position/credible/roussos_2024/variant_figures/roussos_2024.adolescence.Astrocyte/rs10894852_profile_position.png",4,220,900)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0.37186808</v>
      </c>
      <c r="G715" t="n">
        <v>0.0036343060413487</v>
      </c>
      <c r="H715" t="n">
        <v>0.0387905285004855</v>
      </c>
      <c r="I715" t="n">
        <v>0.0124587401689158</v>
      </c>
      <c r="J715" t="n">
        <v>0.0940769367712072</v>
      </c>
      <c r="K715" t="n">
        <v>0.3369611166135184</v>
      </c>
      <c r="L715" t="b">
        <v>1</v>
      </c>
      <c r="M715" t="b">
        <v>1</v>
      </c>
      <c r="N715" t="inlineStr">
        <is>
          <t>alt</t>
        </is>
      </c>
      <c r="O715" t="n">
        <v>-60</v>
      </c>
      <c r="P715" t="n">
        <v>0.02875</v>
      </c>
      <c r="Q715" t="n">
        <v>-60</v>
      </c>
      <c r="R715" t="n">
        <v>0.06934</v>
      </c>
      <c r="S715">
        <f>IMAGE("https://mitra.stanford.edu/kundaje/oak/projects/neuro-variants/variant_position/credible/roussos_2024/variant_figures/roussos_2024.adolescence.Astrocyte/rs7122771_count_position.png",4,220,900)</f>
        <v/>
      </c>
      <c r="T715">
        <f>IMAGE("https://mitra.stanford.edu/kundaje/oak/projects/neuro-variants/variant_position/credible/roussos_2024/variant_figures/roussos_2024.adolescence.Astrocyte/rs7122771_profile_position.png",4,220,900)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0.0218457698</v>
      </c>
      <c r="G716" t="n">
        <v>0.3205253304790068</v>
      </c>
      <c r="H716" t="n">
        <v>0.0215258617899779</v>
      </c>
      <c r="I716" t="n">
        <v>0.1063779929500668</v>
      </c>
      <c r="J716" t="n">
        <v>0.0274129899415481</v>
      </c>
      <c r="K716" t="n">
        <v>0.5240074798322631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0.00891</v>
      </c>
      <c r="Q716" t="n">
        <v>-45</v>
      </c>
      <c r="R716" t="n">
        <v>0.05994</v>
      </c>
      <c r="S716">
        <f>IMAGE("https://mitra.stanford.edu/kundaje/oak/projects/neuro-variants/variant_position/credible/roussos_2024/variant_figures/roussos_2024.adolescence.Astrocyte/rs4343039_count_position.png",4,220,900)</f>
        <v/>
      </c>
      <c r="T716">
        <f>IMAGE("https://mitra.stanford.edu/kundaje/oak/projects/neuro-variants/variant_position/credible/roussos_2024/variant_figures/roussos_2024.adolescence.Astrocyte/rs4343039_profile_position.png",4,220,900)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-0.0446838929999999</v>
      </c>
      <c r="G717" t="n">
        <v>0.2938638214377891</v>
      </c>
      <c r="H717" t="n">
        <v>0.0135542380432247</v>
      </c>
      <c r="I717" t="n">
        <v>0.4238193789143997</v>
      </c>
      <c r="J717" t="n">
        <v>0.0353395840132925</v>
      </c>
      <c r="K717" t="n">
        <v>0.4907750623862507</v>
      </c>
      <c r="L717" t="b">
        <v>0</v>
      </c>
      <c r="M717" t="b">
        <v>0</v>
      </c>
      <c r="N717" t="inlineStr">
        <is>
          <t>ref</t>
        </is>
      </c>
      <c r="O717" t="n">
        <v>55</v>
      </c>
      <c r="P717" t="n">
        <v>0.002548</v>
      </c>
      <c r="Q717" t="n">
        <v>100</v>
      </c>
      <c r="R717" t="n">
        <v>0.11536</v>
      </c>
      <c r="S717">
        <f>IMAGE("https://mitra.stanford.edu/kundaje/oak/projects/neuro-variants/variant_position/credible/roussos_2024/variant_figures/roussos_2024.adolescence.Astrocyte/rs2187466_count_position.png",4,220,900)</f>
        <v/>
      </c>
      <c r="T717">
        <f>IMAGE("https://mitra.stanford.edu/kundaje/oak/projects/neuro-variants/variant_position/credible/roussos_2024/variant_figures/roussos_2024.adolescence.Astrocyte/rs2187466_profile_position.png",4,220,900)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0.1004380929999999</v>
      </c>
      <c r="G718" t="n">
        <v>0.07837205476276191</v>
      </c>
      <c r="H718" t="n">
        <v>0.0122771816356164</v>
      </c>
      <c r="I718" t="n">
        <v>0.5283392102786451</v>
      </c>
      <c r="J718" t="n">
        <v>0.4126643028810491</v>
      </c>
      <c r="K718" t="n">
        <v>0.08257188734248209</v>
      </c>
      <c r="L718" t="b">
        <v>0</v>
      </c>
      <c r="M718" t="b">
        <v>0</v>
      </c>
      <c r="N718" t="inlineStr">
        <is>
          <t>alt</t>
        </is>
      </c>
      <c r="O718" t="n">
        <v>-100</v>
      </c>
      <c r="P718" t="n">
        <v>0.01138</v>
      </c>
      <c r="Q718" t="n">
        <v>100</v>
      </c>
      <c r="R718" t="n">
        <v>0.2534</v>
      </c>
      <c r="S718">
        <f>IMAGE("https://mitra.stanford.edu/kundaje/oak/projects/neuro-variants/variant_position/credible/roussos_2024/variant_figures/roussos_2024.adolescence.Astrocyte/rs3019649_count_position.png",4,220,900)</f>
        <v/>
      </c>
      <c r="T718">
        <f>IMAGE("https://mitra.stanford.edu/kundaje/oak/projects/neuro-variants/variant_position/credible/roussos_2024/variant_figures/roussos_2024.adolescence.Astrocyte/rs3019649_profile_position.png",4,220,900)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-0.0681505622</v>
      </c>
      <c r="G719" t="n">
        <v>0.1511116742734168</v>
      </c>
      <c r="H719" t="n">
        <v>0.014573249582008</v>
      </c>
      <c r="I719" t="n">
        <v>0.3477063671824441</v>
      </c>
      <c r="J719" t="n">
        <v>0.1035790582440732</v>
      </c>
      <c r="K719" t="n">
        <v>0.3257297828631627</v>
      </c>
      <c r="L719" t="b">
        <v>0</v>
      </c>
      <c r="M719" t="b">
        <v>0</v>
      </c>
      <c r="N719" t="inlineStr">
        <is>
          <t>ref</t>
        </is>
      </c>
      <c r="O719" t="n">
        <v>-55</v>
      </c>
      <c r="P719" t="n">
        <v>0.00473</v>
      </c>
      <c r="Q719" t="n">
        <v>95</v>
      </c>
      <c r="R719" t="n">
        <v>0.0741</v>
      </c>
      <c r="S719">
        <f>IMAGE("https://mitra.stanford.edu/kundaje/oak/projects/neuro-variants/variant_position/credible/roussos_2024/variant_figures/roussos_2024.adolescence.Astrocyte/rs3019651_count_position.png",4,220,900)</f>
        <v/>
      </c>
      <c r="T719">
        <f>IMAGE("https://mitra.stanford.edu/kundaje/oak/projects/neuro-variants/variant_position/credible/roussos_2024/variant_figures/roussos_2024.adolescence.Astrocyte/rs3019651_profile_position.png",4,220,900)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-0.2147599999999999</v>
      </c>
      <c r="G720" t="n">
        <v>0.0150571190429589</v>
      </c>
      <c r="H720" t="n">
        <v>0.0270778461729433</v>
      </c>
      <c r="I720" t="n">
        <v>0.0469638092093659</v>
      </c>
      <c r="J720" t="n">
        <v>0.2612497403791947</v>
      </c>
      <c r="K720" t="n">
        <v>0.157409257424694</v>
      </c>
      <c r="L720" t="b">
        <v>1</v>
      </c>
      <c r="M720" t="b">
        <v>0</v>
      </c>
      <c r="N720" t="inlineStr">
        <is>
          <t>ref</t>
        </is>
      </c>
      <c r="O720" t="n">
        <v>-5</v>
      </c>
      <c r="P720" t="n">
        <v>0.000866</v>
      </c>
      <c r="Q720" t="n">
        <v>-15</v>
      </c>
      <c r="R720" t="n">
        <v>0.02588</v>
      </c>
      <c r="S720">
        <f>IMAGE("https://mitra.stanford.edu/kundaje/oak/projects/neuro-variants/variant_position/credible/roussos_2024/variant_figures/roussos_2024.adolescence.Astrocyte/rs3019652_count_position.png",4,220,900)</f>
        <v/>
      </c>
      <c r="T720">
        <f>IMAGE("https://mitra.stanford.edu/kundaje/oak/projects/neuro-variants/variant_position/credible/roussos_2024/variant_figures/roussos_2024.adolescence.Astrocyte/rs3019652_profile_position.png",4,220,900)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-0.0191758174</v>
      </c>
      <c r="G721" t="n">
        <v>0.5603798192999382</v>
      </c>
      <c r="H721" t="n">
        <v>0.0129611476260767</v>
      </c>
      <c r="I721" t="n">
        <v>0.4719530299297117</v>
      </c>
      <c r="J721" t="n">
        <v>0.0002544283891641</v>
      </c>
      <c r="K721" t="n">
        <v>0.9640982711537572</v>
      </c>
      <c r="L721" t="b">
        <v>0</v>
      </c>
      <c r="M721" t="b">
        <v>0</v>
      </c>
      <c r="N721" t="inlineStr">
        <is>
          <t>ref</t>
        </is>
      </c>
      <c r="O721" t="n">
        <v>0</v>
      </c>
      <c r="P721" t="n">
        <v>0</v>
      </c>
      <c r="Q721" t="n">
        <v>-70</v>
      </c>
      <c r="R721" t="n">
        <v>0.06850000000000001</v>
      </c>
      <c r="S721">
        <f>IMAGE("https://mitra.stanford.edu/kundaje/oak/projects/neuro-variants/variant_position/credible/roussos_2024/variant_figures/roussos_2024.adolescence.Astrocyte/rs2226892_count_position.png",4,220,900)</f>
        <v/>
      </c>
      <c r="T721">
        <f>IMAGE("https://mitra.stanford.edu/kundaje/oak/projects/neuro-variants/variant_position/credible/roussos_2024/variant_figures/roussos_2024.adolescence.Astrocyte/rs2226892_profile_position.png",4,220,900)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-0.146439822</v>
      </c>
      <c r="G722" t="n">
        <v>0.0429540923242251</v>
      </c>
      <c r="H722" t="n">
        <v>0.0400165793474099</v>
      </c>
      <c r="I722" t="n">
        <v>0.0100902233526534</v>
      </c>
      <c r="J722" t="n">
        <v>0.3375107557190754</v>
      </c>
      <c r="K722" t="n">
        <v>0.1151787750528575</v>
      </c>
      <c r="L722" t="b">
        <v>1</v>
      </c>
      <c r="M722" t="b">
        <v>0</v>
      </c>
      <c r="N722" t="inlineStr">
        <is>
          <t>ref</t>
        </is>
      </c>
      <c r="O722" t="n">
        <v>100</v>
      </c>
      <c r="P722" t="n">
        <v>0.01816</v>
      </c>
      <c r="Q722" t="n">
        <v>30</v>
      </c>
      <c r="R722" t="n">
        <v>0.04932</v>
      </c>
      <c r="S722">
        <f>IMAGE("https://mitra.stanford.edu/kundaje/oak/projects/neuro-variants/variant_position/credible/roussos_2024/variant_figures/roussos_2024.adolescence.Astrocyte/rs3018003_count_position.png",4,220,900)</f>
        <v/>
      </c>
      <c r="T722">
        <f>IMAGE("https://mitra.stanford.edu/kundaje/oak/projects/neuro-variants/variant_position/credible/roussos_2024/variant_figures/roussos_2024.adolescence.Astrocyte/rs3018003_profile_position.png",4,220,900)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-0.007266820019</v>
      </c>
      <c r="G723" t="n">
        <v>0.7477225242517599</v>
      </c>
      <c r="H723" t="n">
        <v>0.008176497610553101</v>
      </c>
      <c r="I723" t="n">
        <v>0.9094870879880697</v>
      </c>
      <c r="J723" t="n">
        <v>0.1726500608254457</v>
      </c>
      <c r="K723" t="n">
        <v>0.2288674174522643</v>
      </c>
      <c r="L723" t="b">
        <v>0</v>
      </c>
      <c r="M723" t="b">
        <v>0</v>
      </c>
      <c r="N723" t="inlineStr">
        <is>
          <t>ref</t>
        </is>
      </c>
      <c r="O723" t="n">
        <v>100</v>
      </c>
      <c r="P723" t="n">
        <v>0.004875</v>
      </c>
      <c r="Q723" t="n">
        <v>-80</v>
      </c>
      <c r="R723" t="n">
        <v>0.1464</v>
      </c>
      <c r="S723">
        <f>IMAGE("https://mitra.stanford.edu/kundaje/oak/projects/neuro-variants/variant_position/credible/roussos_2024/variant_figures/roussos_2024.adolescence.Astrocyte/rs11223928_count_position.png",4,220,900)</f>
        <v/>
      </c>
      <c r="T723">
        <f>IMAGE("https://mitra.stanford.edu/kundaje/oak/projects/neuro-variants/variant_position/credible/roussos_2024/variant_figures/roussos_2024.adolescence.Astrocyte/rs11223928_profile_position.png",4,220,900)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0.0238189018</v>
      </c>
      <c r="G724" t="n">
        <v>0.3538954440685831</v>
      </c>
      <c r="H724" t="n">
        <v>0.0160993909190224</v>
      </c>
      <c r="I724" t="n">
        <v>0.2666347231309984</v>
      </c>
      <c r="J724" t="n">
        <v>0.0172714595139898</v>
      </c>
      <c r="K724" t="n">
        <v>0.5989585536886693</v>
      </c>
      <c r="L724" t="b">
        <v>0</v>
      </c>
      <c r="M724" t="b">
        <v>0</v>
      </c>
      <c r="N724" t="inlineStr">
        <is>
          <t>alt</t>
        </is>
      </c>
      <c r="O724" t="n">
        <v>70</v>
      </c>
      <c r="P724" t="n">
        <v>0.001381</v>
      </c>
      <c r="Q724" t="n">
        <v>35</v>
      </c>
      <c r="R724" t="n">
        <v>0.012024</v>
      </c>
      <c r="S724">
        <f>IMAGE("https://mitra.stanford.edu/kundaje/oak/projects/neuro-variants/variant_position/credible/roussos_2024/variant_figures/roussos_2024.adolescence.Astrocyte/rs999785_count_position.png",4,220,900)</f>
        <v/>
      </c>
      <c r="T724">
        <f>IMAGE("https://mitra.stanford.edu/kundaje/oak/projects/neuro-variants/variant_position/credible/roussos_2024/variant_figures/roussos_2024.adolescence.Astrocyte/rs999785_profile_position.png",4,220,900)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-0.0986225308</v>
      </c>
      <c r="G725" t="n">
        <v>0.08780107106607569</v>
      </c>
      <c r="H725" t="n">
        <v>0.0121451819906741</v>
      </c>
      <c r="I725" t="n">
        <v>0.538076771588089</v>
      </c>
      <c r="J725" t="n">
        <v>0.5048022431237575</v>
      </c>
      <c r="K725" t="n">
        <v>0.0548677352886206</v>
      </c>
      <c r="L725" t="b">
        <v>0</v>
      </c>
      <c r="M725" t="b">
        <v>0</v>
      </c>
      <c r="N725" t="inlineStr">
        <is>
          <t>ref</t>
        </is>
      </c>
      <c r="O725" t="n">
        <v>25</v>
      </c>
      <c r="P725" t="n">
        <v>0.002428</v>
      </c>
      <c r="Q725" t="n">
        <v>20</v>
      </c>
      <c r="R725" t="n">
        <v>0.083</v>
      </c>
      <c r="S725">
        <f>IMAGE("https://mitra.stanford.edu/kundaje/oak/projects/neuro-variants/variant_position/credible/roussos_2024/variant_figures/roussos_2024.adolescence.Astrocyte/rs11223931_count_position.png",4,220,900)</f>
        <v/>
      </c>
      <c r="T725">
        <f>IMAGE("https://mitra.stanford.edu/kundaje/oak/projects/neuro-variants/variant_position/credible/roussos_2024/variant_figures/roussos_2024.adolescence.Astrocyte/rs11223931_profile_position.png",4,220,900)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-0.0454798486</v>
      </c>
      <c r="G726" t="n">
        <v>0.2661937409741163</v>
      </c>
      <c r="H726" t="n">
        <v>0.0133183748197636</v>
      </c>
      <c r="I726" t="n">
        <v>0.4307953662748138</v>
      </c>
      <c r="J726" t="n">
        <v>0.0230239147850339</v>
      </c>
      <c r="K726" t="n">
        <v>0.5528594115454313</v>
      </c>
      <c r="L726" t="b">
        <v>0</v>
      </c>
      <c r="M726" t="b">
        <v>0</v>
      </c>
      <c r="N726" t="inlineStr">
        <is>
          <t>ref</t>
        </is>
      </c>
      <c r="O726" t="n">
        <v>-10</v>
      </c>
      <c r="P726" t="n">
        <v>0.0008087</v>
      </c>
      <c r="Q726" t="n">
        <v>50</v>
      </c>
      <c r="R726" t="n">
        <v>0.01221</v>
      </c>
      <c r="S726">
        <f>IMAGE("https://mitra.stanford.edu/kundaje/oak/projects/neuro-variants/variant_position/credible/roussos_2024/variant_figures/roussos_2024.adolescence.Astrocyte/rs10894859_count_position.png",4,220,900)</f>
        <v/>
      </c>
      <c r="T726">
        <f>IMAGE("https://mitra.stanford.edu/kundaje/oak/projects/neuro-variants/variant_position/credible/roussos_2024/variant_figures/roussos_2024.adolescence.Astrocyte/rs10894859_profile_position.png",4,220,900)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0.09937797280000001</v>
      </c>
      <c r="G727" t="n">
        <v>0.0761092450707636</v>
      </c>
      <c r="H727" t="n">
        <v>0.0145040413653761</v>
      </c>
      <c r="I727" t="n">
        <v>0.3563861841267763</v>
      </c>
      <c r="J727" t="n">
        <v>0.0306760525769218</v>
      </c>
      <c r="K727" t="n">
        <v>0.5121670825331817</v>
      </c>
      <c r="L727" t="b">
        <v>0</v>
      </c>
      <c r="M727" t="b">
        <v>0</v>
      </c>
      <c r="N727" t="inlineStr">
        <is>
          <t>alt</t>
        </is>
      </c>
      <c r="O727" t="n">
        <v>-5</v>
      </c>
      <c r="P727" t="n">
        <v>0.00029</v>
      </c>
      <c r="Q727" t="n">
        <v>-15</v>
      </c>
      <c r="R727" t="n">
        <v>0.009520000000000001</v>
      </c>
      <c r="S727">
        <f>IMAGE("https://mitra.stanford.edu/kundaje/oak/projects/neuro-variants/variant_position/credible/roussos_2024/variant_figures/roussos_2024.adolescence.Astrocyte/rs12277680_count_position.png",4,220,900)</f>
        <v/>
      </c>
      <c r="T727">
        <f>IMAGE("https://mitra.stanford.edu/kundaje/oak/projects/neuro-variants/variant_position/credible/roussos_2024/variant_figures/roussos_2024.adolescence.Astrocyte/rs12277680_profile_position.png",4,220,900)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0.008261815400000001</v>
      </c>
      <c r="G728" t="n">
        <v>0.4741882129579743</v>
      </c>
      <c r="H728" t="n">
        <v>0.0242006707089268</v>
      </c>
      <c r="I728" t="n">
        <v>0.0709379985155744</v>
      </c>
      <c r="J728" t="n">
        <v>0.3098663323739726</v>
      </c>
      <c r="K728" t="n">
        <v>0.130647330584155</v>
      </c>
      <c r="L728" t="b">
        <v>0</v>
      </c>
      <c r="M728" t="b">
        <v>0</v>
      </c>
      <c r="N728" t="inlineStr">
        <is>
          <t>alt</t>
        </is>
      </c>
      <c r="O728" t="n">
        <v>100</v>
      </c>
      <c r="P728" t="n">
        <v>0.003544</v>
      </c>
      <c r="Q728" t="n">
        <v>100</v>
      </c>
      <c r="R728" t="n">
        <v>0.1316</v>
      </c>
      <c r="S728">
        <f>IMAGE("https://mitra.stanford.edu/kundaje/oak/projects/neuro-variants/variant_position/credible/roussos_2024/variant_figures/roussos_2024.adolescence.Astrocyte/rs7951888_count_position.png",4,220,900)</f>
        <v/>
      </c>
      <c r="T728">
        <f>IMAGE("https://mitra.stanford.edu/kundaje/oak/projects/neuro-variants/variant_position/credible/roussos_2024/variant_figures/roussos_2024.adolescence.Astrocyte/rs7951888_profile_position.png",4,220,900)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0.1113472049999999</v>
      </c>
      <c r="G729" t="n">
        <v>0.0548946259777657</v>
      </c>
      <c r="H729" t="n">
        <v>0.0187812666167165</v>
      </c>
      <c r="I729" t="n">
        <v>0.1726532494791787</v>
      </c>
      <c r="J729" t="n">
        <v>0.0946035961190398</v>
      </c>
      <c r="K729" t="n">
        <v>0.3380595458926229</v>
      </c>
      <c r="L729" t="b">
        <v>0</v>
      </c>
      <c r="M729" t="b">
        <v>0</v>
      </c>
      <c r="N729" t="inlineStr">
        <is>
          <t>alt</t>
        </is>
      </c>
      <c r="O729" t="n">
        <v>-100</v>
      </c>
      <c r="P729" t="n">
        <v>0.00728</v>
      </c>
      <c r="Q729" t="n">
        <v>70</v>
      </c>
      <c r="R729" t="n">
        <v>0.11304</v>
      </c>
      <c r="S729">
        <f>IMAGE("https://mitra.stanford.edu/kundaje/oak/projects/neuro-variants/variant_position/credible/roussos_2024/variant_figures/roussos_2024.adolescence.Astrocyte/rs10894902_count_position.png",4,220,900)</f>
        <v/>
      </c>
      <c r="T729">
        <f>IMAGE("https://mitra.stanford.edu/kundaje/oak/projects/neuro-variants/variant_position/credible/roussos_2024/variant_figures/roussos_2024.adolescence.Astrocyte/rs10894902_profile_position.png",4,220,900)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0.0940231366</v>
      </c>
      <c r="G730" t="n">
        <v>0.09716212835568511</v>
      </c>
      <c r="H730" t="n">
        <v>0.0158940134922931</v>
      </c>
      <c r="I730" t="n">
        <v>0.2796220035327225</v>
      </c>
      <c r="J730" t="n">
        <v>0.0704551523603239</v>
      </c>
      <c r="K730" t="n">
        <v>0.3883443270625538</v>
      </c>
      <c r="L730" t="b">
        <v>0</v>
      </c>
      <c r="M730" t="b">
        <v>0</v>
      </c>
      <c r="N730" t="inlineStr">
        <is>
          <t>alt</t>
        </is>
      </c>
      <c r="O730" t="n">
        <v>80</v>
      </c>
      <c r="P730" t="n">
        <v>0.007133</v>
      </c>
      <c r="Q730" t="n">
        <v>-90</v>
      </c>
      <c r="R730" t="n">
        <v>0.12036</v>
      </c>
      <c r="S730">
        <f>IMAGE("https://mitra.stanford.edu/kundaje/oak/projects/neuro-variants/variant_position/credible/roussos_2024/variant_figures/roussos_2024.adolescence.Astrocyte/rs906627_count_position.png",4,220,900)</f>
        <v/>
      </c>
      <c r="T730">
        <f>IMAGE("https://mitra.stanford.edu/kundaje/oak/projects/neuro-variants/variant_position/credible/roussos_2024/variant_figures/roussos_2024.adolescence.Astrocyte/rs906627_profile_position.png",4,220,900)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0.00712519118</v>
      </c>
      <c r="G731" t="n">
        <v>0.680837554364915</v>
      </c>
      <c r="H731" t="n">
        <v>0.0096321752052205</v>
      </c>
      <c r="I731" t="n">
        <v>0.7874678635919995</v>
      </c>
      <c r="J731" t="n">
        <v>0.4922514316232976</v>
      </c>
      <c r="K731" t="n">
        <v>0.0587568988856987</v>
      </c>
      <c r="L731" t="b">
        <v>0</v>
      </c>
      <c r="M731" t="b">
        <v>0</v>
      </c>
      <c r="N731" t="inlineStr">
        <is>
          <t>alt</t>
        </is>
      </c>
      <c r="O731" t="n">
        <v>100</v>
      </c>
      <c r="P731" t="n">
        <v>0.02795</v>
      </c>
      <c r="Q731" t="n">
        <v>100</v>
      </c>
      <c r="R731" t="n">
        <v>0.1725</v>
      </c>
      <c r="S731">
        <f>IMAGE("https://mitra.stanford.edu/kundaje/oak/projects/neuro-variants/variant_position/credible/roussos_2024/variant_figures/roussos_2024.adolescence.Astrocyte/rs1154905_count_position.png",4,220,900)</f>
        <v/>
      </c>
      <c r="T731">
        <f>IMAGE("https://mitra.stanford.edu/kundaje/oak/projects/neuro-variants/variant_position/credible/roussos_2024/variant_figures/roussos_2024.adolescence.Astrocyte/rs1154905_profile_position.png",4,220,900)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-0.0114987828</v>
      </c>
      <c r="G732" t="n">
        <v>0.4670349079267845</v>
      </c>
      <c r="H732" t="n">
        <v>0.016992900454399</v>
      </c>
      <c r="I732" t="n">
        <v>0.2255803920688452</v>
      </c>
      <c r="J732" t="n">
        <v>0.1368364833991039</v>
      </c>
      <c r="K732" t="n">
        <v>0.2725957828979097</v>
      </c>
      <c r="L732" t="b">
        <v>0</v>
      </c>
      <c r="M732" t="b">
        <v>0</v>
      </c>
      <c r="N732" t="inlineStr">
        <is>
          <t>ref</t>
        </is>
      </c>
      <c r="O732" t="n">
        <v>-35</v>
      </c>
      <c r="P732" t="n">
        <v>0.004356</v>
      </c>
      <c r="Q732" t="n">
        <v>20</v>
      </c>
      <c r="R732" t="n">
        <v>0.03296</v>
      </c>
      <c r="S732">
        <f>IMAGE("https://mitra.stanford.edu/kundaje/oak/projects/neuro-variants/variant_position/credible/roussos_2024/variant_figures/roussos_2024.adolescence.Astrocyte/rs12226882_count_position.png",4,220,900)</f>
        <v/>
      </c>
      <c r="T732">
        <f>IMAGE("https://mitra.stanford.edu/kundaje/oak/projects/neuro-variants/variant_position/credible/roussos_2024/variant_figures/roussos_2024.adolescence.Astrocyte/rs12226882_profile_position.png",4,220,900)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-0.222015682</v>
      </c>
      <c r="G733" t="n">
        <v>0.0186485988233517</v>
      </c>
      <c r="H733" t="n">
        <v>0.0390632572719522</v>
      </c>
      <c r="I733" t="n">
        <v>0.0115309039491721</v>
      </c>
      <c r="J733" t="n">
        <v>0.17100035605139</v>
      </c>
      <c r="K733" t="n">
        <v>0.2404645345937967</v>
      </c>
      <c r="L733" t="b">
        <v>1</v>
      </c>
      <c r="M733" t="b">
        <v>0</v>
      </c>
      <c r="N733" t="inlineStr">
        <is>
          <t>ref</t>
        </is>
      </c>
      <c r="O733" t="n">
        <v>5</v>
      </c>
      <c r="P733" t="n">
        <v>0.0006256</v>
      </c>
      <c r="Q733" t="n">
        <v>-90</v>
      </c>
      <c r="R733" t="n">
        <v>0.1538</v>
      </c>
      <c r="S733">
        <f>IMAGE("https://mitra.stanford.edu/kundaje/oak/projects/neuro-variants/variant_position/credible/roussos_2024/variant_figures/roussos_2024.adolescence.Astrocyte/rs7118700_count_position.png",4,220,900)</f>
        <v/>
      </c>
      <c r="T733">
        <f>IMAGE("https://mitra.stanford.edu/kundaje/oak/projects/neuro-variants/variant_position/credible/roussos_2024/variant_figures/roussos_2024.adolescence.Astrocyte/rs7118700_profile_position.png",4,220,900)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0.0256098765999999</v>
      </c>
      <c r="G734" t="n">
        <v>0.4623527682193751</v>
      </c>
      <c r="H734" t="n">
        <v>0.0178386333287466</v>
      </c>
      <c r="I734" t="n">
        <v>0.1951729680952939</v>
      </c>
      <c r="J734" t="n">
        <v>0.4034099338337832</v>
      </c>
      <c r="K734" t="n">
        <v>0.0860611832676333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0.1433</v>
      </c>
      <c r="Q734" t="n">
        <v>-100</v>
      </c>
      <c r="R734" t="n">
        <v>0.5356</v>
      </c>
      <c r="S734">
        <f>IMAGE("https://mitra.stanford.edu/kundaje/oak/projects/neuro-variants/variant_position/credible/roussos_2024/variant_figures/roussos_2024.adolescence.Astrocyte/rs1319913_count_position.png",4,220,900)</f>
        <v/>
      </c>
      <c r="T734">
        <f>IMAGE("https://mitra.stanford.edu/kundaje/oak/projects/neuro-variants/variant_position/credible/roussos_2024/variant_figures/roussos_2024.adolescence.Astrocyte/rs1319913_profile_position.png",4,220,900)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-0.2715734119999999</v>
      </c>
      <c r="G735" t="n">
        <v>0.009357376087918701</v>
      </c>
      <c r="H735" t="n">
        <v>0.0314826412651254</v>
      </c>
      <c r="I735" t="n">
        <v>0.0271284668167106</v>
      </c>
      <c r="J735" t="n">
        <v>0.4656543927840252</v>
      </c>
      <c r="K735" t="n">
        <v>0.0665329088445312</v>
      </c>
      <c r="L735" t="b">
        <v>1</v>
      </c>
      <c r="M735" t="b">
        <v>1</v>
      </c>
      <c r="N735" t="inlineStr">
        <is>
          <t>ref</t>
        </is>
      </c>
      <c r="O735" t="n">
        <v>35</v>
      </c>
      <c r="P735" t="n">
        <v>0.002197</v>
      </c>
      <c r="Q735" t="n">
        <v>35</v>
      </c>
      <c r="R735" t="n">
        <v>0.06104</v>
      </c>
      <c r="S735">
        <f>IMAGE("https://mitra.stanford.edu/kundaje/oak/projects/neuro-variants/variant_position/credible/roussos_2024/variant_figures/roussos_2024.adolescence.Astrocyte/rs11224103_count_position.png",4,220,900)</f>
        <v/>
      </c>
      <c r="T735">
        <f>IMAGE("https://mitra.stanford.edu/kundaje/oak/projects/neuro-variants/variant_position/credible/roussos_2024/variant_figures/roussos_2024.adolescence.Astrocyte/rs11224103_profile_position.png",4,220,900)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-0.00764675724</v>
      </c>
      <c r="G736" t="n">
        <v>0.6814732655103087</v>
      </c>
      <c r="H736" t="n">
        <v>0.0091953769811984</v>
      </c>
      <c r="I736" t="n">
        <v>0.8253305250752832</v>
      </c>
      <c r="J736" t="n">
        <v>0.0022127110346259</v>
      </c>
      <c r="K736" t="n">
        <v>0.8093279899733901</v>
      </c>
      <c r="L736" t="b">
        <v>0</v>
      </c>
      <c r="M736" t="b">
        <v>0</v>
      </c>
      <c r="N736" t="inlineStr">
        <is>
          <t>ref</t>
        </is>
      </c>
      <c r="O736" t="n">
        <v>-35</v>
      </c>
      <c r="P736" t="n">
        <v>0.002415</v>
      </c>
      <c r="Q736" t="n">
        <v>100</v>
      </c>
      <c r="R736" t="n">
        <v>0.2098</v>
      </c>
      <c r="S736">
        <f>IMAGE("https://mitra.stanford.edu/kundaje/oak/projects/neuro-variants/variant_position/credible/roussos_2024/variant_figures/roussos_2024.adolescence.Astrocyte/rs11061971_count_position.png",4,220,900)</f>
        <v/>
      </c>
      <c r="T736">
        <f>IMAGE("https://mitra.stanford.edu/kundaje/oak/projects/neuro-variants/variant_position/credible/roussos_2024/variant_figures/roussos_2024.adolescence.Astrocyte/rs11061971_profile_position.png",4,220,900)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-0.1976589139999999</v>
      </c>
      <c r="G737" t="n">
        <v>0.0190761733311197</v>
      </c>
      <c r="H737" t="n">
        <v>0.0377046789339663</v>
      </c>
      <c r="I737" t="n">
        <v>0.0128143477252109</v>
      </c>
      <c r="J737" t="n">
        <v>0.0160831379995845</v>
      </c>
      <c r="K737" t="n">
        <v>0.6095524161123252</v>
      </c>
      <c r="L737" t="b">
        <v>1</v>
      </c>
      <c r="M737" t="b">
        <v>0</v>
      </c>
      <c r="N737" t="inlineStr">
        <is>
          <t>ref</t>
        </is>
      </c>
      <c r="O737" t="n">
        <v>100</v>
      </c>
      <c r="P737" t="n">
        <v>0.02762</v>
      </c>
      <c r="Q737" t="n">
        <v>-50</v>
      </c>
      <c r="R737" t="n">
        <v>0.0834</v>
      </c>
      <c r="S737">
        <f>IMAGE("https://mitra.stanford.edu/kundaje/oak/projects/neuro-variants/variant_position/credible/roussos_2024/variant_figures/roussos_2024.adolescence.Astrocyte/rs7294668_count_position.png",4,220,900)</f>
        <v/>
      </c>
      <c r="T737">
        <f>IMAGE("https://mitra.stanford.edu/kundaje/oak/projects/neuro-variants/variant_position/credible/roussos_2024/variant_figures/roussos_2024.adolescence.Astrocyte/rs7294668_profile_position.png",4,220,900)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0.0268090865999999</v>
      </c>
      <c r="G738" t="n">
        <v>0.440360132862851</v>
      </c>
      <c r="H738" t="n">
        <v>0.0426509174433762</v>
      </c>
      <c r="I738" t="n">
        <v>0.0075449385106383</v>
      </c>
      <c r="J738" t="n">
        <v>0.0018551760970833</v>
      </c>
      <c r="K738" t="n">
        <v>0.8234751658668938</v>
      </c>
      <c r="L738" t="b">
        <v>0</v>
      </c>
      <c r="M738" t="b">
        <v>0</v>
      </c>
      <c r="N738" t="inlineStr">
        <is>
          <t>alt</t>
        </is>
      </c>
      <c r="O738" t="n">
        <v>55</v>
      </c>
      <c r="P738" t="n">
        <v>0.008789999999999999</v>
      </c>
      <c r="Q738" t="n">
        <v>85</v>
      </c>
      <c r="R738" t="n">
        <v>0.00525</v>
      </c>
      <c r="S738">
        <f>IMAGE("https://mitra.stanford.edu/kundaje/oak/projects/neuro-variants/variant_position/credible/roussos_2024/variant_figures/roussos_2024.adolescence.Astrocyte/rs7306506_count_position.png",4,220,900)</f>
        <v/>
      </c>
      <c r="T738">
        <f>IMAGE("https://mitra.stanford.edu/kundaje/oak/projects/neuro-variants/variant_position/credible/roussos_2024/variant_figures/roussos_2024.adolescence.Astrocyte/rs7306506_profile_position.png",4,220,900)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-0.0263388449799999</v>
      </c>
      <c r="G739" t="n">
        <v>0.4659757518024792</v>
      </c>
      <c r="H739" t="n">
        <v>0.0120121825360674</v>
      </c>
      <c r="I739" t="n">
        <v>0.5594750489916825</v>
      </c>
      <c r="J739" t="n">
        <v>0.0142643088152389</v>
      </c>
      <c r="K739" t="n">
        <v>0.6229494434719052</v>
      </c>
      <c r="L739" t="b">
        <v>0</v>
      </c>
      <c r="M739" t="b">
        <v>0</v>
      </c>
      <c r="N739" t="inlineStr">
        <is>
          <t>ref</t>
        </is>
      </c>
      <c r="O739" t="n">
        <v>-90</v>
      </c>
      <c r="P739" t="n">
        <v>0.003937</v>
      </c>
      <c r="Q739" t="n">
        <v>50</v>
      </c>
      <c r="R739" t="n">
        <v>0.0514</v>
      </c>
      <c r="S739">
        <f>IMAGE("https://mitra.stanford.edu/kundaje/oak/projects/neuro-variants/variant_position/credible/roussos_2024/variant_figures/roussos_2024.adolescence.Astrocyte/rs4766416_count_position.png",4,220,900)</f>
        <v/>
      </c>
      <c r="T739">
        <f>IMAGE("https://mitra.stanford.edu/kundaje/oak/projects/neuro-variants/variant_position/credible/roussos_2024/variant_figures/roussos_2024.adolescence.Astrocyte/rs4766416_profile_position.png",4,220,900)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0.116933167</v>
      </c>
      <c r="G740" t="n">
        <v>0.0583745764533209</v>
      </c>
      <c r="H740" t="n">
        <v>0.0119673602697091</v>
      </c>
      <c r="I740" t="n">
        <v>0.5567685580694836</v>
      </c>
      <c r="J740" t="n">
        <v>0.1450397590718926</v>
      </c>
      <c r="K740" t="n">
        <v>0.2583766423113932</v>
      </c>
      <c r="L740" t="b">
        <v>0</v>
      </c>
      <c r="M740" t="b">
        <v>0</v>
      </c>
      <c r="N740" t="inlineStr">
        <is>
          <t>alt</t>
        </is>
      </c>
      <c r="O740" t="n">
        <v>-100</v>
      </c>
      <c r="P740" t="n">
        <v>0.003345</v>
      </c>
      <c r="Q740" t="n">
        <v>-55</v>
      </c>
      <c r="R740" t="n">
        <v>0.1034</v>
      </c>
      <c r="S740">
        <f>IMAGE("https://mitra.stanford.edu/kundaje/oak/projects/neuro-variants/variant_position/credible/roussos_2024/variant_figures/roussos_2024.adolescence.Astrocyte/rs7294540_count_position.png",4,220,900)</f>
        <v/>
      </c>
      <c r="T740">
        <f>IMAGE("https://mitra.stanford.edu/kundaje/oak/projects/neuro-variants/variant_position/credible/roussos_2024/variant_figures/roussos_2024.adolescence.Astrocyte/rs7294540_profile_position.png",4,220,900)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-0.028936212</v>
      </c>
      <c r="G741" t="n">
        <v>0.4156073985961073</v>
      </c>
      <c r="H741" t="n">
        <v>0.0197837029543037</v>
      </c>
      <c r="I741" t="n">
        <v>0.1438934636140106</v>
      </c>
      <c r="J741" t="n">
        <v>0.2584087469958163</v>
      </c>
      <c r="K741" t="n">
        <v>0.159630248601483</v>
      </c>
      <c r="L741" t="b">
        <v>0</v>
      </c>
      <c r="M741" t="b">
        <v>0</v>
      </c>
      <c r="N741" t="inlineStr">
        <is>
          <t>ref</t>
        </is>
      </c>
      <c r="O741" t="n">
        <v>-80</v>
      </c>
      <c r="P741" t="n">
        <v>0.01752</v>
      </c>
      <c r="Q741" t="n">
        <v>-100</v>
      </c>
      <c r="R741" t="n">
        <v>0.168</v>
      </c>
      <c r="S741">
        <f>IMAGE("https://mitra.stanford.edu/kundaje/oak/projects/neuro-variants/variant_position/credible/roussos_2024/variant_figures/roussos_2024.adolescence.Astrocyte/rs2286379_count_position.png",4,220,900)</f>
        <v/>
      </c>
      <c r="T741">
        <f>IMAGE("https://mitra.stanford.edu/kundaje/oak/projects/neuro-variants/variant_position/credible/roussos_2024/variant_figures/roussos_2024.adolescence.Astrocyte/rs2286379_profile_position.png",4,220,900)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-0.030966789</v>
      </c>
      <c r="G742" t="n">
        <v>0.4106419116442045</v>
      </c>
      <c r="H742" t="n">
        <v>0.0117766799088774</v>
      </c>
      <c r="I742" t="n">
        <v>0.5816551151242944</v>
      </c>
      <c r="J742" t="n">
        <v>0.1032415511972227</v>
      </c>
      <c r="K742" t="n">
        <v>0.3270889342520593</v>
      </c>
      <c r="L742" t="b">
        <v>0</v>
      </c>
      <c r="M742" t="b">
        <v>0</v>
      </c>
      <c r="N742" t="inlineStr">
        <is>
          <t>ref</t>
        </is>
      </c>
      <c r="O742" t="n">
        <v>-5</v>
      </c>
      <c r="P742" t="n">
        <v>0.0001526</v>
      </c>
      <c r="Q742" t="n">
        <v>-95</v>
      </c>
      <c r="R742" t="n">
        <v>0.08840000000000001</v>
      </c>
      <c r="S742">
        <f>IMAGE("https://mitra.stanford.edu/kundaje/oak/projects/neuro-variants/variant_position/credible/roussos_2024/variant_figures/roussos_2024.adolescence.Astrocyte/rs2283288_count_position.png",4,220,900)</f>
        <v/>
      </c>
      <c r="T742">
        <f>IMAGE("https://mitra.stanford.edu/kundaje/oak/projects/neuro-variants/variant_position/credible/roussos_2024/variant_figures/roussos_2024.adolescence.Astrocyte/rs2283288_profile_position.png",4,220,900)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0.09588692679999999</v>
      </c>
      <c r="G743" t="n">
        <v>0.092438220911001</v>
      </c>
      <c r="H743" t="n">
        <v>0.0218103924190202</v>
      </c>
      <c r="I743" t="n">
        <v>0.1030085104380277</v>
      </c>
      <c r="J743" t="n">
        <v>0.1697519508649081</v>
      </c>
      <c r="K743" t="n">
        <v>0.2349797472882984</v>
      </c>
      <c r="L743" t="b">
        <v>0</v>
      </c>
      <c r="M743" t="b">
        <v>0</v>
      </c>
      <c r="N743" t="inlineStr">
        <is>
          <t>alt</t>
        </is>
      </c>
      <c r="O743" t="n">
        <v>-40</v>
      </c>
      <c r="P743" t="n">
        <v>0.002151</v>
      </c>
      <c r="Q743" t="n">
        <v>-45</v>
      </c>
      <c r="R743" t="n">
        <v>0.08690000000000001</v>
      </c>
      <c r="S743">
        <f>IMAGE("https://mitra.stanford.edu/kundaje/oak/projects/neuro-variants/variant_position/credible/roussos_2024/variant_figures/roussos_2024.adolescence.Astrocyte/rs2238048_count_position.png",4,220,900)</f>
        <v/>
      </c>
      <c r="T743">
        <f>IMAGE("https://mitra.stanford.edu/kundaje/oak/projects/neuro-variants/variant_position/credible/roussos_2024/variant_figures/roussos_2024.adolescence.Astrocyte/rs2238048_profile_position.png",4,220,900)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-0.0026591271999999</v>
      </c>
      <c r="G744" t="n">
        <v>0.46329801597321</v>
      </c>
      <c r="H744" t="n">
        <v>0.0148381519861713</v>
      </c>
      <c r="I744" t="n">
        <v>0.3323508429280429</v>
      </c>
      <c r="J744" t="n">
        <v>0.0697207963682757</v>
      </c>
      <c r="K744" t="n">
        <v>0.3865618933199953</v>
      </c>
      <c r="L744" t="b">
        <v>0</v>
      </c>
      <c r="M744" t="b">
        <v>0</v>
      </c>
      <c r="N744" t="inlineStr">
        <is>
          <t>ref</t>
        </is>
      </c>
      <c r="O744" t="n">
        <v>10</v>
      </c>
      <c r="P744" t="n">
        <v>0.0003424</v>
      </c>
      <c r="Q744" t="n">
        <v>-95</v>
      </c>
      <c r="R744" t="n">
        <v>0.0914</v>
      </c>
      <c r="S744">
        <f>IMAGE("https://mitra.stanford.edu/kundaje/oak/projects/neuro-variants/variant_position/credible/roussos_2024/variant_figures/roussos_2024.adolescence.Astrocyte/rs11614764_count_position.png",4,220,900)</f>
        <v/>
      </c>
      <c r="T744">
        <f>IMAGE("https://mitra.stanford.edu/kundaje/oak/projects/neuro-variants/variant_position/credible/roussos_2024/variant_figures/roussos_2024.adolescence.Astrocyte/rs11614764_profile_position.png",4,220,900)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-0.1529112432</v>
      </c>
      <c r="G745" t="n">
        <v>0.0415693834971992</v>
      </c>
      <c r="H745" t="n">
        <v>0.0196553110847627</v>
      </c>
      <c r="I745" t="n">
        <v>0.1484977676760294</v>
      </c>
      <c r="J745" t="n">
        <v>0.0180540307984451</v>
      </c>
      <c r="K745" t="n">
        <v>0.5939680088019096</v>
      </c>
      <c r="L745" t="b">
        <v>0</v>
      </c>
      <c r="M745" t="b">
        <v>0</v>
      </c>
      <c r="N745" t="inlineStr">
        <is>
          <t>ref</t>
        </is>
      </c>
      <c r="O745" t="n">
        <v>100</v>
      </c>
      <c r="P745" t="n">
        <v>0.00202</v>
      </c>
      <c r="Q745" t="n">
        <v>85</v>
      </c>
      <c r="R745" t="n">
        <v>0.05182</v>
      </c>
      <c r="S745">
        <f>IMAGE("https://mitra.stanford.edu/kundaje/oak/projects/neuro-variants/variant_position/credible/roussos_2024/variant_figures/roussos_2024.adolescence.Astrocyte/rs2239018_count_position.png",4,220,900)</f>
        <v/>
      </c>
      <c r="T745">
        <f>IMAGE("https://mitra.stanford.edu/kundaje/oak/projects/neuro-variants/variant_position/credible/roussos_2024/variant_figures/roussos_2024.adolescence.Astrocyte/rs2239018_profile_position.png",4,220,900)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-0.0310921169999999</v>
      </c>
      <c r="G746" t="n">
        <v>0.4243332021881364</v>
      </c>
      <c r="H746" t="n">
        <v>0.0120790257511455</v>
      </c>
      <c r="I746" t="n">
        <v>0.5495450470344135</v>
      </c>
      <c r="J746" t="n">
        <v>0.0138555914903717</v>
      </c>
      <c r="K746" t="n">
        <v>0.6271996541161277</v>
      </c>
      <c r="L746" t="b">
        <v>0</v>
      </c>
      <c r="M746" t="b">
        <v>0</v>
      </c>
      <c r="N746" t="inlineStr">
        <is>
          <t>ref</t>
        </is>
      </c>
      <c r="O746" t="n">
        <v>-5</v>
      </c>
      <c r="P746" t="n">
        <v>0.0006638</v>
      </c>
      <c r="Q746" t="n">
        <v>5</v>
      </c>
      <c r="R746" t="n">
        <v>0.00763</v>
      </c>
      <c r="S746">
        <f>IMAGE("https://mitra.stanford.edu/kundaje/oak/projects/neuro-variants/variant_position/credible/roussos_2024/variant_figures/roussos_2024.adolescence.Astrocyte/rs2238053_count_position.png",4,220,900)</f>
        <v/>
      </c>
      <c r="T746">
        <f>IMAGE("https://mitra.stanford.edu/kundaje/oak/projects/neuro-variants/variant_position/credible/roussos_2024/variant_figures/roussos_2024.adolescence.Astrocyte/rs2238053_profile_position.png",4,220,900)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0.01333065276</v>
      </c>
      <c r="G747" t="n">
        <v>0.6331771367743426</v>
      </c>
      <c r="H747" t="n">
        <v>0.0102230259838531</v>
      </c>
      <c r="I747" t="n">
        <v>0.7334442929013159</v>
      </c>
      <c r="J747" t="n">
        <v>0.0679635344034655</v>
      </c>
      <c r="K747" t="n">
        <v>0.3918398948780098</v>
      </c>
      <c r="L747" t="b">
        <v>0</v>
      </c>
      <c r="M747" t="b">
        <v>0</v>
      </c>
      <c r="N747" t="inlineStr">
        <is>
          <t>alt</t>
        </is>
      </c>
      <c r="O747" t="n">
        <v>-100</v>
      </c>
      <c r="P747" t="n">
        <v>0.003334</v>
      </c>
      <c r="Q747" t="n">
        <v>85</v>
      </c>
      <c r="R747" t="n">
        <v>0.02582</v>
      </c>
      <c r="S747">
        <f>IMAGE("https://mitra.stanford.edu/kundaje/oak/projects/neuro-variants/variant_position/credible/roussos_2024/variant_figures/roussos_2024.adolescence.Astrocyte/rs7957545_count_position.png",4,220,900)</f>
        <v/>
      </c>
      <c r="T747">
        <f>IMAGE("https://mitra.stanford.edu/kundaje/oak/projects/neuro-variants/variant_position/credible/roussos_2024/variant_figures/roussos_2024.adolescence.Astrocyte/rs7957545_profile_position.png",4,220,900)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0.05017506036</v>
      </c>
      <c r="G748" t="n">
        <v>0.2417784880154842</v>
      </c>
      <c r="H748" t="n">
        <v>0.0132934545504685</v>
      </c>
      <c r="I748" t="n">
        <v>0.4372765775978566</v>
      </c>
      <c r="J748" t="n">
        <v>0.1490920689552858</v>
      </c>
      <c r="K748" t="n">
        <v>0.2578666068538211</v>
      </c>
      <c r="L748" t="b">
        <v>0</v>
      </c>
      <c r="M748" t="b">
        <v>0</v>
      </c>
      <c r="N748" t="inlineStr">
        <is>
          <t>alt</t>
        </is>
      </c>
      <c r="O748" t="n">
        <v>15</v>
      </c>
      <c r="P748" t="n">
        <v>0.003326</v>
      </c>
      <c r="Q748" t="n">
        <v>5</v>
      </c>
      <c r="R748" t="n">
        <v>0.02734</v>
      </c>
      <c r="S748">
        <f>IMAGE("https://mitra.stanford.edu/kundaje/oak/projects/neuro-variants/variant_position/credible/roussos_2024/variant_figures/roussos_2024.adolescence.Astrocyte/rs10848642_count_position.png",4,220,900)</f>
        <v/>
      </c>
      <c r="T748">
        <f>IMAGE("https://mitra.stanford.edu/kundaje/oak/projects/neuro-variants/variant_position/credible/roussos_2024/variant_figures/roussos_2024.adolescence.Astrocyte/rs10848642_profile_position.png",4,220,900)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-0.035161335</v>
      </c>
      <c r="G749" t="n">
        <v>0.3224735572138469</v>
      </c>
      <c r="H749" t="n">
        <v>0.0164626154147749</v>
      </c>
      <c r="I749" t="n">
        <v>0.2519926203905166</v>
      </c>
      <c r="J749" t="n">
        <v>0.0483376850725454</v>
      </c>
      <c r="K749" t="n">
        <v>0.4404891953186414</v>
      </c>
      <c r="L749" t="b">
        <v>0</v>
      </c>
      <c r="M749" t="b">
        <v>0</v>
      </c>
      <c r="N749" t="inlineStr">
        <is>
          <t>ref</t>
        </is>
      </c>
      <c r="O749" t="n">
        <v>-65</v>
      </c>
      <c r="P749" t="n">
        <v>0.01645</v>
      </c>
      <c r="Q749" t="n">
        <v>-70</v>
      </c>
      <c r="R749" t="n">
        <v>0.2622</v>
      </c>
      <c r="S749">
        <f>IMAGE("https://mitra.stanford.edu/kundaje/oak/projects/neuro-variants/variant_position/credible/roussos_2024/variant_figures/roussos_2024.adolescence.Astrocyte/rs11062162_count_position.png",4,220,900)</f>
        <v/>
      </c>
      <c r="T749">
        <f>IMAGE("https://mitra.stanford.edu/kundaje/oak/projects/neuro-variants/variant_position/credible/roussos_2024/variant_figures/roussos_2024.adolescence.Astrocyte/rs11062162_profile_position.png",4,220,900)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0.01725786082</v>
      </c>
      <c r="G750" t="n">
        <v>0.5671200161869124</v>
      </c>
      <c r="H750" t="n">
        <v>0.0115164655997952</v>
      </c>
      <c r="I750" t="n">
        <v>0.6000016466817651</v>
      </c>
      <c r="J750" t="n">
        <v>0.0004873453401773</v>
      </c>
      <c r="K750" t="n">
        <v>0.9136018412581698</v>
      </c>
      <c r="L750" t="b">
        <v>0</v>
      </c>
      <c r="M750" t="b">
        <v>0</v>
      </c>
      <c r="N750" t="inlineStr">
        <is>
          <t>alt</t>
        </is>
      </c>
      <c r="O750" t="n">
        <v>95</v>
      </c>
      <c r="P750" t="n">
        <v>0.003616</v>
      </c>
      <c r="Q750" t="n">
        <v>30</v>
      </c>
      <c r="R750" t="n">
        <v>0.05835</v>
      </c>
      <c r="S750">
        <f>IMAGE("https://mitra.stanford.edu/kundaje/oak/projects/neuro-variants/variant_position/credible/roussos_2024/variant_figures/roussos_2024.adolescence.Astrocyte/rs1108222_count_position.png",4,220,900)</f>
        <v/>
      </c>
      <c r="T750">
        <f>IMAGE("https://mitra.stanford.edu/kundaje/oak/projects/neuro-variants/variant_position/credible/roussos_2024/variant_figures/roussos_2024.adolescence.Astrocyte/rs1108222_profile_position.png",4,220,900)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0.08355810479999989</v>
      </c>
      <c r="G751" t="n">
        <v>0.1357166582202748</v>
      </c>
      <c r="H751" t="n">
        <v>0.0288694363854463</v>
      </c>
      <c r="I751" t="n">
        <v>0.0370662416380465</v>
      </c>
      <c r="J751" t="n">
        <v>0.0174628371361599</v>
      </c>
      <c r="K751" t="n">
        <v>0.5989990988363288</v>
      </c>
      <c r="L751" t="b">
        <v>0</v>
      </c>
      <c r="M751" t="b">
        <v>0</v>
      </c>
      <c r="N751" t="inlineStr">
        <is>
          <t>alt</t>
        </is>
      </c>
      <c r="O751" t="n">
        <v>-75</v>
      </c>
      <c r="P751" t="n">
        <v>0.01376</v>
      </c>
      <c r="Q751" t="n">
        <v>-95</v>
      </c>
      <c r="R751" t="n">
        <v>0.1039</v>
      </c>
      <c r="S751">
        <f>IMAGE("https://mitra.stanford.edu/kundaje/oak/projects/neuro-variants/variant_position/credible/roussos_2024/variant_figures/roussos_2024.adolescence.Astrocyte/rs11062166_count_position.png",4,220,900)</f>
        <v/>
      </c>
      <c r="T751">
        <f>IMAGE("https://mitra.stanford.edu/kundaje/oak/projects/neuro-variants/variant_position/credible/roussos_2024/variant_figures/roussos_2024.adolescence.Astrocyte/rs11062166_profile_position.png",4,220,900)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-0.090763738</v>
      </c>
      <c r="G752" t="n">
        <v>0.1047320242952894</v>
      </c>
      <c r="H752" t="n">
        <v>0.0141745506077502</v>
      </c>
      <c r="I752" t="n">
        <v>0.3755422376759864</v>
      </c>
      <c r="J752" t="n">
        <v>0.6254139097409726</v>
      </c>
      <c r="K752" t="n">
        <v>0.0295650436220737</v>
      </c>
      <c r="L752" t="b">
        <v>0</v>
      </c>
      <c r="M752" t="b">
        <v>0</v>
      </c>
      <c r="N752" t="inlineStr">
        <is>
          <t>ref</t>
        </is>
      </c>
      <c r="O752" t="n">
        <v>70</v>
      </c>
      <c r="P752" t="n">
        <v>0.008224</v>
      </c>
      <c r="Q752" t="n">
        <v>-100</v>
      </c>
      <c r="R752" t="n">
        <v>0.07324</v>
      </c>
      <c r="S752">
        <f>IMAGE("https://mitra.stanford.edu/kundaje/oak/projects/neuro-variants/variant_position/credible/roussos_2024/variant_figures/roussos_2024.adolescence.Astrocyte/rs11062170_count_position.png",4,220,900)</f>
        <v/>
      </c>
      <c r="T752">
        <f>IMAGE("https://mitra.stanford.edu/kundaje/oak/projects/neuro-variants/variant_position/credible/roussos_2024/variant_figures/roussos_2024.adolescence.Astrocyte/rs11062170_profile_position.png",4,220,900)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0.0381225998</v>
      </c>
      <c r="G753" t="n">
        <v>0.3386524496949184</v>
      </c>
      <c r="H753" t="n">
        <v>0.0106395125092691</v>
      </c>
      <c r="I753" t="n">
        <v>0.6805712338776887</v>
      </c>
      <c r="J753" t="n">
        <v>0.297882977776459</v>
      </c>
      <c r="K753" t="n">
        <v>0.1355517417749444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0.1625</v>
      </c>
      <c r="Q753" t="n">
        <v>100</v>
      </c>
      <c r="R753" t="n">
        <v>0.4263</v>
      </c>
      <c r="S753">
        <f>IMAGE("https://mitra.stanford.edu/kundaje/oak/projects/neuro-variants/variant_position/credible/roussos_2024/variant_figures/roussos_2024.adolescence.Astrocyte/rs2370414_count_position.png",4,220,900)</f>
        <v/>
      </c>
      <c r="T753">
        <f>IMAGE("https://mitra.stanford.edu/kundaje/oak/projects/neuro-variants/variant_position/credible/roussos_2024/variant_figures/roussos_2024.adolescence.Astrocyte/rs2370414_profile_position.png",4,220,900)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0.070897418</v>
      </c>
      <c r="G754" t="n">
        <v>0.1625067639232341</v>
      </c>
      <c r="H754" t="n">
        <v>0.0240940306230194</v>
      </c>
      <c r="I754" t="n">
        <v>0.0745876280185353</v>
      </c>
      <c r="J754" t="n">
        <v>0.2645276384891552</v>
      </c>
      <c r="K754" t="n">
        <v>0.160886818982305</v>
      </c>
      <c r="L754" t="b">
        <v>0</v>
      </c>
      <c r="M754" t="b">
        <v>0</v>
      </c>
      <c r="N754" t="inlineStr">
        <is>
          <t>alt</t>
        </is>
      </c>
      <c r="O754" t="n">
        <v>25</v>
      </c>
      <c r="P754" t="n">
        <v>0.007538</v>
      </c>
      <c r="Q754" t="n">
        <v>30</v>
      </c>
      <c r="R754" t="n">
        <v>0.05396</v>
      </c>
      <c r="S754">
        <f>IMAGE("https://mitra.stanford.edu/kundaje/oak/projects/neuro-variants/variant_position/credible/roussos_2024/variant_figures/roussos_2024.adolescence.Astrocyte/rs2238057_count_position.png",4,220,900)</f>
        <v/>
      </c>
      <c r="T754">
        <f>IMAGE("https://mitra.stanford.edu/kundaje/oak/projects/neuro-variants/variant_position/credible/roussos_2024/variant_figures/roussos_2024.adolescence.Astrocyte/rs2238057_profile_position.png",4,220,900)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0.00109123186</v>
      </c>
      <c r="G755" t="n">
        <v>0.7880342450028953</v>
      </c>
      <c r="H755" t="n">
        <v>0.0113370601950615</v>
      </c>
      <c r="I755" t="n">
        <v>0.6246256451581885</v>
      </c>
      <c r="J755" t="n">
        <v>0.1499035694151855</v>
      </c>
      <c r="K755" t="n">
        <v>0.2576455842892232</v>
      </c>
      <c r="L755" t="b">
        <v>0</v>
      </c>
      <c r="M755" t="b">
        <v>0</v>
      </c>
      <c r="N755" t="inlineStr">
        <is>
          <t>alt</t>
        </is>
      </c>
      <c r="O755" t="n">
        <v>-45</v>
      </c>
      <c r="P755" t="n">
        <v>0.00466</v>
      </c>
      <c r="Q755" t="n">
        <v>100</v>
      </c>
      <c r="R755" t="n">
        <v>0.1619</v>
      </c>
      <c r="S755">
        <f>IMAGE("https://mitra.stanford.edu/kundaje/oak/projects/neuro-variants/variant_position/credible/roussos_2024/variant_figures/roussos_2024.adolescence.Astrocyte/rs6489486_count_position.png",4,220,900)</f>
        <v/>
      </c>
      <c r="T755">
        <f>IMAGE("https://mitra.stanford.edu/kundaje/oak/projects/neuro-variants/variant_position/credible/roussos_2024/variant_figures/roussos_2024.adolescence.Astrocyte/rs6489486_profile_position.png",4,220,900)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-0.0160016126</v>
      </c>
      <c r="G756" t="n">
        <v>0.6166780219155522</v>
      </c>
      <c r="H756" t="n">
        <v>0.0250537991080676</v>
      </c>
      <c r="I756" t="n">
        <v>0.0621788198673796</v>
      </c>
      <c r="J756" t="n">
        <v>0.0015888793282496</v>
      </c>
      <c r="K756" t="n">
        <v>0.8417167662336537</v>
      </c>
      <c r="L756" t="b">
        <v>0</v>
      </c>
      <c r="M756" t="b">
        <v>0</v>
      </c>
      <c r="N756" t="inlineStr">
        <is>
          <t>ref</t>
        </is>
      </c>
      <c r="O756" t="n">
        <v>90</v>
      </c>
      <c r="P756" t="n">
        <v>0.004345</v>
      </c>
      <c r="Q756" t="n">
        <v>10</v>
      </c>
      <c r="R756" t="n">
        <v>0.00475</v>
      </c>
      <c r="S756">
        <f>IMAGE("https://mitra.stanford.edu/kundaje/oak/projects/neuro-variants/variant_position/credible/roussos_2024/variant_figures/roussos_2024.adolescence.Astrocyte/rs7132826_count_position.png",4,220,900)</f>
        <v/>
      </c>
      <c r="T756">
        <f>IMAGE("https://mitra.stanford.edu/kundaje/oak/projects/neuro-variants/variant_position/credible/roussos_2024/variant_figures/roussos_2024.adolescence.Astrocyte/rs7132826_profile_position.png",4,220,900)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0.0021080345999999</v>
      </c>
      <c r="G757" t="n">
        <v>0.522422885095544</v>
      </c>
      <c r="H757" t="n">
        <v>0.027878196121141</v>
      </c>
      <c r="I757" t="n">
        <v>0.041967766608761</v>
      </c>
      <c r="J757" t="n">
        <v>0.0109997626324065</v>
      </c>
      <c r="K757" t="n">
        <v>0.6623745287325983</v>
      </c>
      <c r="L757" t="b">
        <v>0</v>
      </c>
      <c r="M757" t="b">
        <v>0</v>
      </c>
      <c r="N757" t="inlineStr">
        <is>
          <t>alt</t>
        </is>
      </c>
      <c r="O757" t="n">
        <v>-80</v>
      </c>
      <c r="P757" t="n">
        <v>0.01993</v>
      </c>
      <c r="Q757" t="n">
        <v>-80</v>
      </c>
      <c r="R757" t="n">
        <v>0.0673</v>
      </c>
      <c r="S757">
        <f>IMAGE("https://mitra.stanford.edu/kundaje/oak/projects/neuro-variants/variant_position/credible/roussos_2024/variant_figures/roussos_2024.adolescence.Astrocyte/rs11056556_count_position.png",4,220,900)</f>
        <v/>
      </c>
      <c r="T757">
        <f>IMAGE("https://mitra.stanford.edu/kundaje/oak/projects/neuro-variants/variant_position/credible/roussos_2024/variant_figures/roussos_2024.adolescence.Astrocyte/rs11056556_profile_position.png",4,220,900)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0.1082079638</v>
      </c>
      <c r="G758" t="n">
        <v>0.07302823824392821</v>
      </c>
      <c r="H758" t="n">
        <v>0.0266553164485078</v>
      </c>
      <c r="I758" t="n">
        <v>0.0513504424677246</v>
      </c>
      <c r="J758" t="n">
        <v>0.0101682342818146</v>
      </c>
      <c r="K758" t="n">
        <v>0.679646251792531</v>
      </c>
      <c r="L758" t="b">
        <v>0</v>
      </c>
      <c r="M758" t="b">
        <v>0</v>
      </c>
      <c r="N758" t="inlineStr">
        <is>
          <t>alt</t>
        </is>
      </c>
      <c r="O758" t="n">
        <v>100</v>
      </c>
      <c r="P758" t="n">
        <v>0.01831</v>
      </c>
      <c r="Q758" t="n">
        <v>-100</v>
      </c>
      <c r="R758" t="n">
        <v>0.2217</v>
      </c>
      <c r="S758">
        <f>IMAGE("https://mitra.stanford.edu/kundaje/oak/projects/neuro-variants/variant_position/credible/roussos_2024/variant_figures/roussos_2024.adolescence.Astrocyte/rs10846207_count_position.png",4,220,900)</f>
        <v/>
      </c>
      <c r="T758">
        <f>IMAGE("https://mitra.stanford.edu/kundaje/oak/projects/neuro-variants/variant_position/credible/roussos_2024/variant_figures/roussos_2024.adolescence.Astrocyte/rs10846207_profile_position.png",4,220,900)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0.0256858401</v>
      </c>
      <c r="G759" t="n">
        <v>0.4775020351874499</v>
      </c>
      <c r="H759" t="n">
        <v>0.0235224020330016</v>
      </c>
      <c r="I759" t="n">
        <v>0.0808435130924125</v>
      </c>
      <c r="J759" t="n">
        <v>0.0081001691244102</v>
      </c>
      <c r="K759" t="n">
        <v>0.6855923912419882</v>
      </c>
      <c r="L759" t="b">
        <v>0</v>
      </c>
      <c r="M759" t="b">
        <v>0</v>
      </c>
      <c r="N759" t="inlineStr">
        <is>
          <t>alt</t>
        </is>
      </c>
      <c r="O759" t="n">
        <v>-65</v>
      </c>
      <c r="P759" t="n">
        <v>0.02051</v>
      </c>
      <c r="Q759" t="n">
        <v>-65</v>
      </c>
      <c r="R759" t="n">
        <v>0.0883</v>
      </c>
      <c r="S759">
        <f>IMAGE("https://mitra.stanford.edu/kundaje/oak/projects/neuro-variants/variant_position/credible/roussos_2024/variant_figures/roussos_2024.adolescence.Astrocyte/rs11046902_count_position.png",4,220,900)</f>
        <v/>
      </c>
      <c r="T759">
        <f>IMAGE("https://mitra.stanford.edu/kundaje/oak/projects/neuro-variants/variant_position/credible/roussos_2024/variant_figures/roussos_2024.adolescence.Astrocyte/rs11046902_profile_position.png",4,220,900)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-0.0329429644</v>
      </c>
      <c r="G760" t="n">
        <v>0.3855187838828292</v>
      </c>
      <c r="H760" t="n">
        <v>0.0379149179327543</v>
      </c>
      <c r="I760" t="n">
        <v>0.0123722565236911</v>
      </c>
      <c r="J760" t="n">
        <v>6.675963564072489e-05</v>
      </c>
      <c r="K760" t="n">
        <v>0.9899972390642774</v>
      </c>
      <c r="L760" t="b">
        <v>0</v>
      </c>
      <c r="M760" t="b">
        <v>0</v>
      </c>
      <c r="N760" t="inlineStr">
        <is>
          <t>ref</t>
        </is>
      </c>
      <c r="O760" t="n">
        <v>-10</v>
      </c>
      <c r="P760" t="n">
        <v>0.001007</v>
      </c>
      <c r="Q760" t="n">
        <v>-95</v>
      </c>
      <c r="R760" t="n">
        <v>0.09429999999999999</v>
      </c>
      <c r="S760">
        <f>IMAGE("https://mitra.stanford.edu/kundaje/oak/projects/neuro-variants/variant_position/credible/roussos_2024/variant_figures/roussos_2024.adolescence.Astrocyte/rs2418108_count_position.png",4,220,900)</f>
        <v/>
      </c>
      <c r="T760">
        <f>IMAGE("https://mitra.stanford.edu/kundaje/oak/projects/neuro-variants/variant_position/credible/roussos_2024/variant_figures/roussos_2024.adolescence.Astrocyte/rs2418108_profile_position.png",4,220,900)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0.005659997844</v>
      </c>
      <c r="G761" t="n">
        <v>0.7691231979204899</v>
      </c>
      <c r="H761" t="n">
        <v>0.008935712687634399</v>
      </c>
      <c r="I761" t="n">
        <v>0.8543268607192676</v>
      </c>
      <c r="J761" t="n">
        <v>0.0014650031154496</v>
      </c>
      <c r="K761" t="n">
        <v>0.8633556160244904</v>
      </c>
      <c r="L761" t="b">
        <v>0</v>
      </c>
      <c r="M761" t="b">
        <v>0</v>
      </c>
      <c r="N761" t="inlineStr">
        <is>
          <t>alt</t>
        </is>
      </c>
      <c r="O761" t="n">
        <v>-75</v>
      </c>
      <c r="P761" t="n">
        <v>0.01852</v>
      </c>
      <c r="Q761" t="n">
        <v>-100</v>
      </c>
      <c r="R761" t="n">
        <v>0.1085</v>
      </c>
      <c r="S761">
        <f>IMAGE("https://mitra.stanford.edu/kundaje/oak/projects/neuro-variants/variant_position/credible/roussos_2024/variant_figures/roussos_2024.adolescence.Astrocyte/rs77777611_count_position.png",4,220,900)</f>
        <v/>
      </c>
      <c r="T761">
        <f>IMAGE("https://mitra.stanford.edu/kundaje/oak/projects/neuro-variants/variant_position/credible/roussos_2024/variant_figures/roussos_2024.adolescence.Astrocyte/rs77777611_profile_position.png",4,220,900)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-0.122766748</v>
      </c>
      <c r="G762" t="n">
        <v>0.0545187342882819</v>
      </c>
      <c r="H762" t="n">
        <v>0.0150428550227341</v>
      </c>
      <c r="I762" t="n">
        <v>0.3194997374556836</v>
      </c>
      <c r="J762" t="n">
        <v>0.0081743464973443</v>
      </c>
      <c r="K762" t="n">
        <v>0.6929207446495858</v>
      </c>
      <c r="L762" t="b">
        <v>0</v>
      </c>
      <c r="M762" t="b">
        <v>0</v>
      </c>
      <c r="N762" t="inlineStr">
        <is>
          <t>ref</t>
        </is>
      </c>
      <c r="O762" t="n">
        <v>20</v>
      </c>
      <c r="P762" t="n">
        <v>0.003136</v>
      </c>
      <c r="Q762" t="n">
        <v>100</v>
      </c>
      <c r="R762" t="n">
        <v>0.012085</v>
      </c>
      <c r="S762">
        <f>IMAGE("https://mitra.stanford.edu/kundaje/oak/projects/neuro-variants/variant_position/credible/roussos_2024/variant_figures/roussos_2024.adolescence.Astrocyte/rs11612157_count_position.png",4,220,900)</f>
        <v/>
      </c>
      <c r="T762">
        <f>IMAGE("https://mitra.stanford.edu/kundaje/oak/projects/neuro-variants/variant_position/credible/roussos_2024/variant_figures/roussos_2024.adolescence.Astrocyte/rs11612157_profile_position.png",4,220,900)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-0.192172464</v>
      </c>
      <c r="G763" t="n">
        <v>0.0204201244045149</v>
      </c>
      <c r="H763" t="n">
        <v>0.0371543282719657</v>
      </c>
      <c r="I763" t="n">
        <v>0.0132280254372422</v>
      </c>
      <c r="J763" t="n">
        <v>0.0624499302732694</v>
      </c>
      <c r="K763" t="n">
        <v>0.4071135699257887</v>
      </c>
      <c r="L763" t="b">
        <v>1</v>
      </c>
      <c r="M763" t="b">
        <v>0</v>
      </c>
      <c r="N763" t="inlineStr">
        <is>
          <t>ref</t>
        </is>
      </c>
      <c r="O763" t="n">
        <v>80</v>
      </c>
      <c r="P763" t="n">
        <v>0.009155</v>
      </c>
      <c r="Q763" t="n">
        <v>5</v>
      </c>
      <c r="R763" t="n">
        <v>0.02051</v>
      </c>
      <c r="S763">
        <f>IMAGE("https://mitra.stanford.edu/kundaje/oak/projects/neuro-variants/variant_position/credible/roussos_2024/variant_figures/roussos_2024.adolescence.Astrocyte/rs17468457_count_position.png",4,220,900)</f>
        <v/>
      </c>
      <c r="T763">
        <f>IMAGE("https://mitra.stanford.edu/kundaje/oak/projects/neuro-variants/variant_position/credible/roussos_2024/variant_figures/roussos_2024.adolescence.Astrocyte/rs17468457_profile_position.png",4,220,900)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0.130518514</v>
      </c>
      <c r="G764" t="n">
        <v>0.048130747611445</v>
      </c>
      <c r="H764" t="n">
        <v>0.0165492006851744</v>
      </c>
      <c r="I764" t="n">
        <v>0.2520116009113818</v>
      </c>
      <c r="J764" t="n">
        <v>0.0552984897486869</v>
      </c>
      <c r="K764" t="n">
        <v>0.4236855630697379</v>
      </c>
      <c r="L764" t="b">
        <v>0</v>
      </c>
      <c r="M764" t="b">
        <v>0</v>
      </c>
      <c r="N764" t="inlineStr">
        <is>
          <t>alt</t>
        </is>
      </c>
      <c r="O764" t="n">
        <v>-15</v>
      </c>
      <c r="P764" t="n">
        <v>0.002491</v>
      </c>
      <c r="Q764" t="n">
        <v>35</v>
      </c>
      <c r="R764" t="n">
        <v>0.05933</v>
      </c>
      <c r="S764">
        <f>IMAGE("https://mitra.stanford.edu/kundaje/oak/projects/neuro-variants/variant_position/credible/roussos_2024/variant_figures/roussos_2024.adolescence.Astrocyte/rs17383970_count_position.png",4,220,900)</f>
        <v/>
      </c>
      <c r="T764">
        <f>IMAGE("https://mitra.stanford.edu/kundaje/oak/projects/neuro-variants/variant_position/credible/roussos_2024/variant_figures/roussos_2024.adolescence.Astrocyte/rs17383970_profile_position.png",4,220,900)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0.0400862803999999</v>
      </c>
      <c r="G765" t="n">
        <v>0.2975438679275427</v>
      </c>
      <c r="H765" t="n">
        <v>0.026027312393064</v>
      </c>
      <c r="I765" t="n">
        <v>0.0549068468930851</v>
      </c>
      <c r="J765" t="n">
        <v>0.0236306856956353</v>
      </c>
      <c r="K765" t="n">
        <v>0.5501636118765094</v>
      </c>
      <c r="L765" t="b">
        <v>0</v>
      </c>
      <c r="M765" t="b">
        <v>0</v>
      </c>
      <c r="N765" t="inlineStr">
        <is>
          <t>alt</t>
        </is>
      </c>
      <c r="O765" t="n">
        <v>90</v>
      </c>
      <c r="P765" t="n">
        <v>0.1794</v>
      </c>
      <c r="Q765" t="n">
        <v>50</v>
      </c>
      <c r="R765" t="n">
        <v>0.192</v>
      </c>
      <c r="S765">
        <f>IMAGE("https://mitra.stanford.edu/kundaje/oak/projects/neuro-variants/variant_position/credible/roussos_2024/variant_figures/roussos_2024.adolescence.Astrocyte/rs73091330_count_position.png",4,220,900)</f>
        <v/>
      </c>
      <c r="T765">
        <f>IMAGE("https://mitra.stanford.edu/kundaje/oak/projects/neuro-variants/variant_position/credible/roussos_2024/variant_figures/roussos_2024.adolescence.Astrocyte/rs73091330_profile_position.png",4,220,900)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-0.0604536568</v>
      </c>
      <c r="G766" t="n">
        <v>0.1535328196444817</v>
      </c>
      <c r="H766" t="n">
        <v>0.0160997881277102</v>
      </c>
      <c r="I766" t="n">
        <v>0.2629001985549098</v>
      </c>
      <c r="J766" t="n">
        <v>0.0378274931015042</v>
      </c>
      <c r="K766" t="n">
        <v>0.4833529694990078</v>
      </c>
      <c r="L766" t="b">
        <v>0</v>
      </c>
      <c r="M766" t="b">
        <v>0</v>
      </c>
      <c r="N766" t="inlineStr">
        <is>
          <t>ref</t>
        </is>
      </c>
      <c r="O766" t="n">
        <v>-100</v>
      </c>
      <c r="P766" t="n">
        <v>0.005363</v>
      </c>
      <c r="Q766" t="n">
        <v>100</v>
      </c>
      <c r="R766" t="n">
        <v>0.1401</v>
      </c>
      <c r="S766">
        <f>IMAGE("https://mitra.stanford.edu/kundaje/oak/projects/neuro-variants/variant_position/credible/roussos_2024/variant_figures/roussos_2024.adolescence.Astrocyte/rs73091349_count_position.png",4,220,900)</f>
        <v/>
      </c>
      <c r="T766">
        <f>IMAGE("https://mitra.stanford.edu/kundaje/oak/projects/neuro-variants/variant_position/credible/roussos_2024/variant_figures/roussos_2024.adolescence.Astrocyte/rs73091349_profile_position.png",4,220,900)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-0.00124781906</v>
      </c>
      <c r="G767" t="n">
        <v>0.8251199262281301</v>
      </c>
      <c r="H767" t="n">
        <v>0.0269656620724103</v>
      </c>
      <c r="I767" t="n">
        <v>0.0487439849216662</v>
      </c>
      <c r="J767" t="n">
        <v>0.0196666468860338</v>
      </c>
      <c r="K767" t="n">
        <v>0.5768611999093292</v>
      </c>
      <c r="L767" t="b">
        <v>0</v>
      </c>
      <c r="M767" t="b">
        <v>0</v>
      </c>
      <c r="N767" t="inlineStr">
        <is>
          <t>ref</t>
        </is>
      </c>
      <c r="O767" t="n">
        <v>100</v>
      </c>
      <c r="P767" t="n">
        <v>0.01163</v>
      </c>
      <c r="Q767" t="n">
        <v>100</v>
      </c>
      <c r="R767" t="n">
        <v>0.0677</v>
      </c>
      <c r="S767">
        <f>IMAGE("https://mitra.stanford.edu/kundaje/oak/projects/neuro-variants/variant_position/credible/roussos_2024/variant_figures/roussos_2024.adolescence.Astrocyte/rs76571125_count_position.png",4,220,900)</f>
        <v/>
      </c>
      <c r="T767">
        <f>IMAGE("https://mitra.stanford.edu/kundaje/oak/projects/neuro-variants/variant_position/credible/roussos_2024/variant_figures/roussos_2024.adolescence.Astrocyte/rs76571125_profile_position.png",4,220,900)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0.1133499539999999</v>
      </c>
      <c r="G768" t="n">
        <v>0.0649088060991076</v>
      </c>
      <c r="H768" t="n">
        <v>0.0248120691916822</v>
      </c>
      <c r="I768" t="n">
        <v>0.0659901287579529</v>
      </c>
      <c r="J768" t="n">
        <v>0.0144401091890929</v>
      </c>
      <c r="K768" t="n">
        <v>0.6173635592751885</v>
      </c>
      <c r="L768" t="b">
        <v>0</v>
      </c>
      <c r="M768" t="b">
        <v>0</v>
      </c>
      <c r="N768" t="inlineStr">
        <is>
          <t>alt</t>
        </is>
      </c>
      <c r="O768" t="n">
        <v>-65</v>
      </c>
      <c r="P768" t="n">
        <v>0.001732</v>
      </c>
      <c r="Q768" t="n">
        <v>-20</v>
      </c>
      <c r="R768" t="n">
        <v>0.07679999999999999</v>
      </c>
      <c r="S768">
        <f>IMAGE("https://mitra.stanford.edu/kundaje/oak/projects/neuro-variants/variant_position/credible/roussos_2024/variant_figures/roussos_2024.adolescence.Astrocyte/rs73091376_count_position.png",4,220,900)</f>
        <v/>
      </c>
      <c r="T768">
        <f>IMAGE("https://mitra.stanford.edu/kundaje/oak/projects/neuro-variants/variant_position/credible/roussos_2024/variant_figures/roussos_2024.adolescence.Astrocyte/rs73091376_profile_position.png",4,220,900)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-0.008072326919999999</v>
      </c>
      <c r="G769" t="n">
        <v>0.7982152641600974</v>
      </c>
      <c r="H769" t="n">
        <v>0.0388146569396874</v>
      </c>
      <c r="I769" t="n">
        <v>0.0108136869326689</v>
      </c>
      <c r="J769" t="n">
        <v>0.0006275405750229</v>
      </c>
      <c r="K769" t="n">
        <v>0.9077527908714216</v>
      </c>
      <c r="L769" t="b">
        <v>0</v>
      </c>
      <c r="M769" t="b">
        <v>0</v>
      </c>
      <c r="N769" t="inlineStr">
        <is>
          <t>ref</t>
        </is>
      </c>
      <c r="O769" t="n">
        <v>80</v>
      </c>
      <c r="P769" t="n">
        <v>0.007934999999999999</v>
      </c>
      <c r="Q769" t="n">
        <v>-75</v>
      </c>
      <c r="R769" t="n">
        <v>0.1091</v>
      </c>
      <c r="S769">
        <f>IMAGE("https://mitra.stanford.edu/kundaje/oak/projects/neuro-variants/variant_position/credible/roussos_2024/variant_figures/roussos_2024.adolescence.Astrocyte/rs73073805_count_position.png",4,220,900)</f>
        <v/>
      </c>
      <c r="T769">
        <f>IMAGE("https://mitra.stanford.edu/kundaje/oak/projects/neuro-variants/variant_position/credible/roussos_2024/variant_figures/roussos_2024.adolescence.Astrocyte/rs73073805_profile_position.png",4,220,900)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0.01688723736</v>
      </c>
      <c r="G770" t="n">
        <v>0.5814365983491809</v>
      </c>
      <c r="H770" t="n">
        <v>0.0124083590079598</v>
      </c>
      <c r="I770" t="n">
        <v>0.5158630395779967</v>
      </c>
      <c r="J770" t="n">
        <v>0.0114789484615612</v>
      </c>
      <c r="K770" t="n">
        <v>0.651096139703477</v>
      </c>
      <c r="L770" t="b">
        <v>0</v>
      </c>
      <c r="M770" t="b">
        <v>0</v>
      </c>
      <c r="N770" t="inlineStr">
        <is>
          <t>alt</t>
        </is>
      </c>
      <c r="O770" t="n">
        <v>35</v>
      </c>
      <c r="P770" t="n">
        <v>0.01254</v>
      </c>
      <c r="Q770" t="n">
        <v>-95</v>
      </c>
      <c r="R770" t="n">
        <v>0.01239</v>
      </c>
      <c r="S770">
        <f>IMAGE("https://mitra.stanford.edu/kundaje/oak/projects/neuro-variants/variant_position/credible/roussos_2024/variant_figures/roussos_2024.adolescence.Astrocyte/rs10843507_count_position.png",4,220,900)</f>
        <v/>
      </c>
      <c r="T770">
        <f>IMAGE("https://mitra.stanford.edu/kundaje/oak/projects/neuro-variants/variant_position/credible/roussos_2024/variant_figures/roussos_2024.adolescence.Astrocyte/rs10843507_profile_position.png",4,220,900)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0.0175824457999999</v>
      </c>
      <c r="G771" t="n">
        <v>0.5872098674024773</v>
      </c>
      <c r="H771" t="n">
        <v>0.015728937578789</v>
      </c>
      <c r="I771" t="n">
        <v>0.2845162555584895</v>
      </c>
      <c r="J771" t="n">
        <v>0.0002277245349078</v>
      </c>
      <c r="K771" t="n">
        <v>0.9562422578866948</v>
      </c>
      <c r="L771" t="b">
        <v>0</v>
      </c>
      <c r="M771" t="b">
        <v>0</v>
      </c>
      <c r="N771" t="inlineStr">
        <is>
          <t>alt</t>
        </is>
      </c>
      <c r="O771" t="n">
        <v>60</v>
      </c>
      <c r="P771" t="n">
        <v>0.001932</v>
      </c>
      <c r="Q771" t="n">
        <v>-75</v>
      </c>
      <c r="R771" t="n">
        <v>0.0701</v>
      </c>
      <c r="S771">
        <f>IMAGE("https://mitra.stanford.edu/kundaje/oak/projects/neuro-variants/variant_position/credible/roussos_2024/variant_figures/roussos_2024.adolescence.Astrocyte/rs7316162_count_position.png",4,220,900)</f>
        <v/>
      </c>
      <c r="T771">
        <f>IMAGE("https://mitra.stanford.edu/kundaje/oak/projects/neuro-variants/variant_position/credible/roussos_2024/variant_figures/roussos_2024.adolescence.Astrocyte/rs7316162_profile_position.png",4,220,900)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-0.01711127188</v>
      </c>
      <c r="G772" t="n">
        <v>0.5746090944239208</v>
      </c>
      <c r="H772" t="n">
        <v>0.0084570054316592</v>
      </c>
      <c r="I772" t="n">
        <v>0.9001406222819559</v>
      </c>
      <c r="J772" t="n">
        <v>0.0002907753019018</v>
      </c>
      <c r="K772" t="n">
        <v>0.9454514175923828</v>
      </c>
      <c r="L772" t="b">
        <v>0</v>
      </c>
      <c r="M772" t="b">
        <v>0</v>
      </c>
      <c r="N772" t="inlineStr">
        <is>
          <t>ref</t>
        </is>
      </c>
      <c r="O772" t="n">
        <v>60</v>
      </c>
      <c r="P772" t="n">
        <v>0.000538</v>
      </c>
      <c r="Q772" t="n">
        <v>95</v>
      </c>
      <c r="R772" t="n">
        <v>0.05966</v>
      </c>
      <c r="S772">
        <f>IMAGE("https://mitra.stanford.edu/kundaje/oak/projects/neuro-variants/variant_position/credible/roussos_2024/variant_figures/roussos_2024.adolescence.Astrocyte/rs302350_count_position.png",4,220,900)</f>
        <v/>
      </c>
      <c r="T772">
        <f>IMAGE("https://mitra.stanford.edu/kundaje/oak/projects/neuro-variants/variant_position/credible/roussos_2024/variant_figures/roussos_2024.adolescence.Astrocyte/rs302350_profile_position.png",4,220,900)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0.0039681747259999</v>
      </c>
      <c r="G773" t="n">
        <v>0.7438001288915215</v>
      </c>
      <c r="H773" t="n">
        <v>0.0387706917769267</v>
      </c>
      <c r="I773" t="n">
        <v>0.0113534621692821</v>
      </c>
      <c r="J773" t="n">
        <v>0.0059683114262824</v>
      </c>
      <c r="K773" t="n">
        <v>0.7215724013293567</v>
      </c>
      <c r="L773" t="b">
        <v>0</v>
      </c>
      <c r="M773" t="b">
        <v>0</v>
      </c>
      <c r="N773" t="inlineStr">
        <is>
          <t>alt</t>
        </is>
      </c>
      <c r="O773" t="n">
        <v>-25</v>
      </c>
      <c r="P773" t="n">
        <v>0.00235</v>
      </c>
      <c r="Q773" t="n">
        <v>-35</v>
      </c>
      <c r="R773" t="n">
        <v>0.04443</v>
      </c>
      <c r="S773">
        <f>IMAGE("https://mitra.stanford.edu/kundaje/oak/projects/neuro-variants/variant_position/credible/roussos_2024/variant_figures/roussos_2024.adolescence.Astrocyte/rs369003_count_position.png",4,220,900)</f>
        <v/>
      </c>
      <c r="T773">
        <f>IMAGE("https://mitra.stanford.edu/kundaje/oak/projects/neuro-variants/variant_position/credible/roussos_2024/variant_figures/roussos_2024.adolescence.Astrocyte/rs369003_profile_position.png",4,220,900)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-0.06322897</v>
      </c>
      <c r="G774" t="n">
        <v>0.1795681261346</v>
      </c>
      <c r="H774" t="n">
        <v>0.0123235905959167</v>
      </c>
      <c r="I774" t="n">
        <v>0.5260747645456755</v>
      </c>
      <c r="J774" t="n">
        <v>0.0218266919858765</v>
      </c>
      <c r="K774" t="n">
        <v>0.5648199813372758</v>
      </c>
      <c r="L774" t="b">
        <v>0</v>
      </c>
      <c r="M774" t="b">
        <v>0</v>
      </c>
      <c r="N774" t="inlineStr">
        <is>
          <t>ref</t>
        </is>
      </c>
      <c r="O774" t="n">
        <v>-55</v>
      </c>
      <c r="P774" t="n">
        <v>0.009735000000000001</v>
      </c>
      <c r="Q774" t="n">
        <v>-55</v>
      </c>
      <c r="R774" t="n">
        <v>0.07489999999999999</v>
      </c>
      <c r="S774">
        <f>IMAGE("https://mitra.stanford.edu/kundaje/oak/projects/neuro-variants/variant_position/credible/roussos_2024/variant_figures/roussos_2024.adolescence.Astrocyte/rs625430_count_position.png",4,220,900)</f>
        <v/>
      </c>
      <c r="T774">
        <f>IMAGE("https://mitra.stanford.edu/kundaje/oak/projects/neuro-variants/variant_position/credible/roussos_2024/variant_figures/roussos_2024.adolescence.Astrocyte/rs625430_profile_position.png",4,220,900)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-0.1689881651999999</v>
      </c>
      <c r="G775" t="n">
        <v>0.0480561754726</v>
      </c>
      <c r="H775" t="n">
        <v>0.02029005419455</v>
      </c>
      <c r="I775" t="n">
        <v>0.1520525501577997</v>
      </c>
      <c r="J775" t="n">
        <v>0.0296234756549861</v>
      </c>
      <c r="K775" t="n">
        <v>0.5834266403743423</v>
      </c>
      <c r="L775" t="b">
        <v>0</v>
      </c>
      <c r="M775" t="b">
        <v>0</v>
      </c>
      <c r="N775" t="inlineStr">
        <is>
          <t>ref</t>
        </is>
      </c>
      <c r="O775" t="n">
        <v>-20</v>
      </c>
      <c r="P775" t="n">
        <v>0.001088</v>
      </c>
      <c r="Q775" t="n">
        <v>-45</v>
      </c>
      <c r="R775" t="n">
        <v>0.05005</v>
      </c>
      <c r="S775">
        <f>IMAGE("https://mitra.stanford.edu/kundaje/oak/projects/neuro-variants/variant_position/credible/roussos_2024/variant_figures/roussos_2024.adolescence.Astrocyte/rs58304678_count_position.png",4,220,900)</f>
        <v/>
      </c>
      <c r="T775">
        <f>IMAGE("https://mitra.stanford.edu/kundaje/oak/projects/neuro-variants/variant_position/credible/roussos_2024/variant_figures/roussos_2024.adolescence.Astrocyte/rs58304678_profile_position.png",4,220,900)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-0.1288157768</v>
      </c>
      <c r="G776" t="n">
        <v>0.0512523654650055</v>
      </c>
      <c r="H776" t="n">
        <v>0.0276630829037601</v>
      </c>
      <c r="I776" t="n">
        <v>0.0430654590435633</v>
      </c>
      <c r="J776" t="n">
        <v>0.0544803133252232</v>
      </c>
      <c r="K776" t="n">
        <v>0.4242246384761048</v>
      </c>
      <c r="L776" t="b">
        <v>0</v>
      </c>
      <c r="M776" t="b">
        <v>0</v>
      </c>
      <c r="N776" t="inlineStr">
        <is>
          <t>ref</t>
        </is>
      </c>
      <c r="O776" t="n">
        <v>45</v>
      </c>
      <c r="P776" t="n">
        <v>0.01101</v>
      </c>
      <c r="Q776" t="n">
        <v>95</v>
      </c>
      <c r="R776" t="n">
        <v>0.1094</v>
      </c>
      <c r="S776">
        <f>IMAGE("https://mitra.stanford.edu/kundaje/oak/projects/neuro-variants/variant_position/credible/roussos_2024/variant_figures/roussos_2024.adolescence.Astrocyte/rs10431276_count_position.png",4,220,900)</f>
        <v/>
      </c>
      <c r="T776">
        <f>IMAGE("https://mitra.stanford.edu/kundaje/oak/projects/neuro-variants/variant_position/credible/roussos_2024/variant_figures/roussos_2024.adolescence.Astrocyte/rs10431276_profile_position.png",4,220,900)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-0.006032023094</v>
      </c>
      <c r="G777" t="n">
        <v>0.8466143716406238</v>
      </c>
      <c r="H777" t="n">
        <v>0.0080963297425856</v>
      </c>
      <c r="I777" t="n">
        <v>0.9100968677922764</v>
      </c>
      <c r="J777" t="n">
        <v>0.0008908702489392</v>
      </c>
      <c r="K777" t="n">
        <v>0.8981284859687024</v>
      </c>
      <c r="L777" t="b">
        <v>0</v>
      </c>
      <c r="M777" t="b">
        <v>0</v>
      </c>
      <c r="N777" t="inlineStr">
        <is>
          <t>ref</t>
        </is>
      </c>
      <c r="O777" t="n">
        <v>-100</v>
      </c>
      <c r="P777" t="n">
        <v>0.01311</v>
      </c>
      <c r="Q777" t="n">
        <v>60</v>
      </c>
      <c r="R777" t="n">
        <v>0.0891</v>
      </c>
      <c r="S777">
        <f>IMAGE("https://mitra.stanford.edu/kundaje/oak/projects/neuro-variants/variant_position/credible/roussos_2024/variant_figures/roussos_2024.adolescence.Astrocyte/rs12229602_count_position.png",4,220,900)</f>
        <v/>
      </c>
      <c r="T777">
        <f>IMAGE("https://mitra.stanford.edu/kundaje/oak/projects/neuro-variants/variant_position/credible/roussos_2024/variant_figures/roussos_2024.adolescence.Astrocyte/rs12229602_profile_position.png",4,220,900)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-0.0519208011399999</v>
      </c>
      <c r="G778" t="n">
        <v>0.1384465211523163</v>
      </c>
      <c r="H778" t="n">
        <v>0.0217994680049031</v>
      </c>
      <c r="I778" t="n">
        <v>0.1088439876380302</v>
      </c>
      <c r="J778" t="n">
        <v>0.430174613535887</v>
      </c>
      <c r="K778" t="n">
        <v>0.0777694628361893</v>
      </c>
      <c r="L778" t="b">
        <v>0</v>
      </c>
      <c r="M778" t="b">
        <v>0</v>
      </c>
      <c r="N778" t="inlineStr">
        <is>
          <t>ref</t>
        </is>
      </c>
      <c r="O778" t="n">
        <v>-5</v>
      </c>
      <c r="P778" t="n">
        <v>0.0007324</v>
      </c>
      <c r="Q778" t="n">
        <v>25</v>
      </c>
      <c r="R778" t="n">
        <v>0.04102</v>
      </c>
      <c r="S778">
        <f>IMAGE("https://mitra.stanford.edu/kundaje/oak/projects/neuro-variants/variant_position/credible/roussos_2024/variant_figures/roussos_2024.adolescence.Astrocyte/rs10843539_count_position.png",4,220,900)</f>
        <v/>
      </c>
      <c r="T778">
        <f>IMAGE("https://mitra.stanford.edu/kundaje/oak/projects/neuro-variants/variant_position/credible/roussos_2024/variant_figures/roussos_2024.adolescence.Astrocyte/rs10843539_profile_position.png",4,220,900)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0.00787726414</v>
      </c>
      <c r="G779" t="n">
        <v>0.6600897880297868</v>
      </c>
      <c r="H779" t="n">
        <v>0.0249447346097335</v>
      </c>
      <c r="I779" t="n">
        <v>0.0630943672622625</v>
      </c>
      <c r="J779" t="n">
        <v>0.000575616413969</v>
      </c>
      <c r="K779" t="n">
        <v>0.9067777679083924</v>
      </c>
      <c r="L779" t="b">
        <v>0</v>
      </c>
      <c r="M779" t="b">
        <v>0</v>
      </c>
      <c r="N779" t="inlineStr">
        <is>
          <t>alt</t>
        </is>
      </c>
      <c r="O779" t="n">
        <v>35</v>
      </c>
      <c r="P779" t="n">
        <v>0.004097</v>
      </c>
      <c r="Q779" t="n">
        <v>45</v>
      </c>
      <c r="R779" t="n">
        <v>0.09546</v>
      </c>
      <c r="S779">
        <f>IMAGE("https://mitra.stanford.edu/kundaje/oak/projects/neuro-variants/variant_position/credible/roussos_2024/variant_figures/roussos_2024.adolescence.Astrocyte/rs2351015_count_position.png",4,220,900)</f>
        <v/>
      </c>
      <c r="T779">
        <f>IMAGE("https://mitra.stanford.edu/kundaje/oak/projects/neuro-variants/variant_position/credible/roussos_2024/variant_figures/roussos_2024.adolescence.Astrocyte/rs2351015_profile_position.png",4,220,900)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-0.0037077958899999</v>
      </c>
      <c r="G780" t="n">
        <v>0.8754038874939012</v>
      </c>
      <c r="H780" t="n">
        <v>0.0250915591652115</v>
      </c>
      <c r="I780" t="n">
        <v>0.0619017316444753</v>
      </c>
      <c r="J780" t="n">
        <v>0.0164288045574577</v>
      </c>
      <c r="K780" t="n">
        <v>0.5980824878126272</v>
      </c>
      <c r="L780" t="b">
        <v>0</v>
      </c>
      <c r="M780" t="b">
        <v>0</v>
      </c>
      <c r="N780" t="inlineStr">
        <is>
          <t>ref</t>
        </is>
      </c>
      <c r="O780" t="n">
        <v>15</v>
      </c>
      <c r="P780" t="n">
        <v>0.004738</v>
      </c>
      <c r="Q780" t="n">
        <v>55</v>
      </c>
      <c r="R780" t="n">
        <v>0.0321</v>
      </c>
      <c r="S780">
        <f>IMAGE("https://mitra.stanford.edu/kundaje/oak/projects/neuro-variants/variant_position/credible/roussos_2024/variant_figures/roussos_2024.adolescence.Astrocyte/rs4622345_count_position.png",4,220,900)</f>
        <v/>
      </c>
      <c r="T780">
        <f>IMAGE("https://mitra.stanford.edu/kundaje/oak/projects/neuro-variants/variant_position/credible/roussos_2024/variant_figures/roussos_2024.adolescence.Astrocyte/rs4622345_profile_position.png",4,220,900)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0.034893005</v>
      </c>
      <c r="G781" t="n">
        <v>0.3423477660648194</v>
      </c>
      <c r="H781" t="n">
        <v>0.0224750533283951</v>
      </c>
      <c r="I781" t="n">
        <v>0.0932027950896951</v>
      </c>
      <c r="J781" t="n">
        <v>0.0017402011690353</v>
      </c>
      <c r="K781" t="n">
        <v>0.8319224767558471</v>
      </c>
      <c r="L781" t="b">
        <v>0</v>
      </c>
      <c r="M781" t="b">
        <v>0</v>
      </c>
      <c r="N781" t="inlineStr">
        <is>
          <t>alt</t>
        </is>
      </c>
      <c r="O781" t="n">
        <v>15</v>
      </c>
      <c r="P781" t="n">
        <v>0.0021</v>
      </c>
      <c r="Q781" t="n">
        <v>25</v>
      </c>
      <c r="R781" t="n">
        <v>0.03708</v>
      </c>
      <c r="S781">
        <f>IMAGE("https://mitra.stanford.edu/kundaje/oak/projects/neuro-variants/variant_position/credible/roussos_2024/variant_figures/roussos_2024.adolescence.Astrocyte/rs7970635_count_position.png",4,220,900)</f>
        <v/>
      </c>
      <c r="T781">
        <f>IMAGE("https://mitra.stanford.edu/kundaje/oak/projects/neuro-variants/variant_position/credible/roussos_2024/variant_figures/roussos_2024.adolescence.Astrocyte/rs7970635_profile_position.png",4,220,900)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-0.0459670612</v>
      </c>
      <c r="G782" t="n">
        <v>0.2761357568368703</v>
      </c>
      <c r="H782" t="n">
        <v>0.0136140353917928</v>
      </c>
      <c r="I782" t="n">
        <v>0.4134661669281979</v>
      </c>
      <c r="J782" t="n">
        <v>0.0022883719550187</v>
      </c>
      <c r="K782" t="n">
        <v>0.8164208782525679</v>
      </c>
      <c r="L782" t="b">
        <v>0</v>
      </c>
      <c r="M782" t="b">
        <v>0</v>
      </c>
      <c r="N782" t="inlineStr">
        <is>
          <t>ref</t>
        </is>
      </c>
      <c r="O782" t="n">
        <v>100</v>
      </c>
      <c r="P782" t="n">
        <v>0.004093</v>
      </c>
      <c r="Q782" t="n">
        <v>-100</v>
      </c>
      <c r="R782" t="n">
        <v>0.05896</v>
      </c>
      <c r="S782">
        <f>IMAGE("https://mitra.stanford.edu/kundaje/oak/projects/neuro-variants/variant_position/credible/roussos_2024/variant_figures/roussos_2024.adolescence.Astrocyte/rs114974785_count_position.png",4,220,900)</f>
        <v/>
      </c>
      <c r="T782">
        <f>IMAGE("https://mitra.stanford.edu/kundaje/oak/projects/neuro-variants/variant_position/credible/roussos_2024/variant_figures/roussos_2024.adolescence.Astrocyte/rs114974785_profile_position.png",4,220,900)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0.0009226537399999</v>
      </c>
      <c r="G783" t="n">
        <v>0.4658565918252058</v>
      </c>
      <c r="H783" t="n">
        <v>0.0167927584063626</v>
      </c>
      <c r="I783" t="n">
        <v>0.2413848324653258</v>
      </c>
      <c r="J783" t="n">
        <v>0.6310766103907663</v>
      </c>
      <c r="K783" t="n">
        <v>0.0281991780960999</v>
      </c>
      <c r="L783" t="b">
        <v>0</v>
      </c>
      <c r="M783" t="b">
        <v>0</v>
      </c>
      <c r="N783" t="inlineStr">
        <is>
          <t>alt</t>
        </is>
      </c>
      <c r="O783" t="n">
        <v>-70</v>
      </c>
      <c r="P783" t="n">
        <v>0.00903</v>
      </c>
      <c r="Q783" t="n">
        <v>10</v>
      </c>
      <c r="R783" t="n">
        <v>0.01465</v>
      </c>
      <c r="S783">
        <f>IMAGE("https://mitra.stanford.edu/kundaje/oak/projects/neuro-variants/variant_position/credible/roussos_2024/variant_figures/roussos_2024.adolescence.Astrocyte/rs706790_count_position.png",4,220,900)</f>
        <v/>
      </c>
      <c r="T783">
        <f>IMAGE("https://mitra.stanford.edu/kundaje/oak/projects/neuro-variants/variant_position/credible/roussos_2024/variant_figures/roussos_2024.adolescence.Astrocyte/rs706790_profile_position.png",4,220,900)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-0.0591896236</v>
      </c>
      <c r="G784" t="n">
        <v>0.1910943371268239</v>
      </c>
      <c r="H784" t="n">
        <v>0.0154210577002497</v>
      </c>
      <c r="I784" t="n">
        <v>0.3084157388028003</v>
      </c>
      <c r="J784" t="n">
        <v>0.3499844227516838</v>
      </c>
      <c r="K784" t="n">
        <v>0.1091957388901389</v>
      </c>
      <c r="L784" t="b">
        <v>0</v>
      </c>
      <c r="M784" t="b">
        <v>0</v>
      </c>
      <c r="N784" t="inlineStr">
        <is>
          <t>ref</t>
        </is>
      </c>
      <c r="O784" t="n">
        <v>-95</v>
      </c>
      <c r="P784" t="n">
        <v>0.009679999999999999</v>
      </c>
      <c r="Q784" t="n">
        <v>-35</v>
      </c>
      <c r="R784" t="n">
        <v>0.03662</v>
      </c>
      <c r="S784">
        <f>IMAGE("https://mitra.stanford.edu/kundaje/oak/projects/neuro-variants/variant_position/credible/roussos_2024/variant_figures/roussos_2024.adolescence.Astrocyte/rs7315690_count_position.png",4,220,900)</f>
        <v/>
      </c>
      <c r="T784">
        <f>IMAGE("https://mitra.stanford.edu/kundaje/oak/projects/neuro-variants/variant_position/credible/roussos_2024/variant_figures/roussos_2024.adolescence.Astrocyte/rs7315690_profile_position.png",4,220,900)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0.1184191821999999</v>
      </c>
      <c r="G785" t="n">
        <v>0.0553632399874872</v>
      </c>
      <c r="H785" t="n">
        <v>0.0119294555462897</v>
      </c>
      <c r="I785" t="n">
        <v>0.5478253594424947</v>
      </c>
      <c r="J785" t="n">
        <v>0.0413917158709906</v>
      </c>
      <c r="K785" t="n">
        <v>0.4684120732430964</v>
      </c>
      <c r="L785" t="b">
        <v>0</v>
      </c>
      <c r="M785" t="b">
        <v>0</v>
      </c>
      <c r="N785" t="inlineStr">
        <is>
          <t>alt</t>
        </is>
      </c>
      <c r="O785" t="n">
        <v>100</v>
      </c>
      <c r="P785" t="n">
        <v>0.02083</v>
      </c>
      <c r="Q785" t="n">
        <v>100</v>
      </c>
      <c r="R785" t="n">
        <v>0.3442</v>
      </c>
      <c r="S785">
        <f>IMAGE("https://mitra.stanford.edu/kundaje/oak/projects/neuro-variants/variant_position/credible/roussos_2024/variant_figures/roussos_2024.adolescence.Astrocyte/rs7138420_count_position.png",4,220,900)</f>
        <v/>
      </c>
      <c r="T785">
        <f>IMAGE("https://mitra.stanford.edu/kundaje/oak/projects/neuro-variants/variant_position/credible/roussos_2024/variant_figures/roussos_2024.adolescence.Astrocyte/rs7138420_profile_position.png",4,220,900)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0.063115241</v>
      </c>
      <c r="G786" t="n">
        <v>0.1703669007501661</v>
      </c>
      <c r="H786" t="n">
        <v>0.011172340268591</v>
      </c>
      <c r="I786" t="n">
        <v>0.6394948003428513</v>
      </c>
      <c r="J786" t="n">
        <v>0.3090348040233807</v>
      </c>
      <c r="K786" t="n">
        <v>0.1288867171762155</v>
      </c>
      <c r="L786" t="b">
        <v>0</v>
      </c>
      <c r="M786" t="b">
        <v>0</v>
      </c>
      <c r="N786" t="inlineStr">
        <is>
          <t>alt</t>
        </is>
      </c>
      <c r="O786" t="n">
        <v>100</v>
      </c>
      <c r="P786" t="n">
        <v>0.02222</v>
      </c>
      <c r="Q786" t="n">
        <v>100</v>
      </c>
      <c r="R786" t="n">
        <v>0.1771</v>
      </c>
      <c r="S786">
        <f>IMAGE("https://mitra.stanford.edu/kundaje/oak/projects/neuro-variants/variant_position/credible/roussos_2024/variant_figures/roussos_2024.adolescence.Astrocyte/rs12425229_count_position.png",4,220,900)</f>
        <v/>
      </c>
      <c r="T786">
        <f>IMAGE("https://mitra.stanford.edu/kundaje/oak/projects/neuro-variants/variant_position/credible/roussos_2024/variant_figures/roussos_2024.adolescence.Astrocyte/rs12425229_profile_position.png",4,220,900)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0.08441085199999999</v>
      </c>
      <c r="G787" t="n">
        <v>0.1129367178020887</v>
      </c>
      <c r="H787" t="n">
        <v>0.0104709682567865</v>
      </c>
      <c r="I787" t="n">
        <v>0.7022990063516651</v>
      </c>
      <c r="J787" t="n">
        <v>0.0137910571759189</v>
      </c>
      <c r="K787" t="n">
        <v>0.6238293455106669</v>
      </c>
      <c r="L787" t="b">
        <v>0</v>
      </c>
      <c r="M787" t="b">
        <v>0</v>
      </c>
      <c r="N787" t="inlineStr">
        <is>
          <t>alt</t>
        </is>
      </c>
      <c r="O787" t="n">
        <v>-70</v>
      </c>
      <c r="P787" t="n">
        <v>0.01266</v>
      </c>
      <c r="Q787" t="n">
        <v>-5</v>
      </c>
      <c r="R787" t="n">
        <v>0.01065</v>
      </c>
      <c r="S787">
        <f>IMAGE("https://mitra.stanford.edu/kundaje/oak/projects/neuro-variants/variant_position/credible/roussos_2024/variant_figures/roussos_2024.adolescence.Astrocyte/rs10783344_count_position.png",4,220,900)</f>
        <v/>
      </c>
      <c r="T787">
        <f>IMAGE("https://mitra.stanford.edu/kundaje/oak/projects/neuro-variants/variant_position/credible/roussos_2024/variant_figures/roussos_2024.adolescence.Astrocyte/rs10783344_profile_position.png",4,220,900)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0.0282259468</v>
      </c>
      <c r="G788" t="n">
        <v>0.3129263785904057</v>
      </c>
      <c r="H788" t="n">
        <v>0.010804977241253</v>
      </c>
      <c r="I788" t="n">
        <v>0.6771146029262147</v>
      </c>
      <c r="J788" t="n">
        <v>0.0540871732486721</v>
      </c>
      <c r="K788" t="n">
        <v>0.4316725952583004</v>
      </c>
      <c r="L788" t="b">
        <v>0</v>
      </c>
      <c r="M788" t="b">
        <v>0</v>
      </c>
      <c r="N788" t="inlineStr">
        <is>
          <t>alt</t>
        </is>
      </c>
      <c r="O788" t="n">
        <v>-100</v>
      </c>
      <c r="P788" t="n">
        <v>0.009220000000000001</v>
      </c>
      <c r="Q788" t="n">
        <v>-100</v>
      </c>
      <c r="R788" t="n">
        <v>0.2307</v>
      </c>
      <c r="S788">
        <f>IMAGE("https://mitra.stanford.edu/kundaje/oak/projects/neuro-variants/variant_position/credible/roussos_2024/variant_figures/roussos_2024.adolescence.Astrocyte/rs1972611_count_position.png",4,220,900)</f>
        <v/>
      </c>
      <c r="T788">
        <f>IMAGE("https://mitra.stanford.edu/kundaje/oak/projects/neuro-variants/variant_position/credible/roussos_2024/variant_figures/roussos_2024.adolescence.Astrocyte/rs1972611_profile_position.png",4,220,900)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-0.1535217809999999</v>
      </c>
      <c r="G789" t="n">
        <v>0.0342327701596088</v>
      </c>
      <c r="H789" t="n">
        <v>0.0181776884773717</v>
      </c>
      <c r="I789" t="n">
        <v>0.185000259870827</v>
      </c>
      <c r="J789" t="n">
        <v>0.0501038483221077</v>
      </c>
      <c r="K789" t="n">
        <v>0.4450210765902467</v>
      </c>
      <c r="L789" t="b">
        <v>0</v>
      </c>
      <c r="M789" t="b">
        <v>0</v>
      </c>
      <c r="N789" t="inlineStr">
        <is>
          <t>ref</t>
        </is>
      </c>
      <c r="O789" t="n">
        <v>-45</v>
      </c>
      <c r="P789" t="n">
        <v>0.01416</v>
      </c>
      <c r="Q789" t="n">
        <v>-50</v>
      </c>
      <c r="R789" t="n">
        <v>0.1964</v>
      </c>
      <c r="S789">
        <f>IMAGE("https://mitra.stanford.edu/kundaje/oak/projects/neuro-variants/variant_position/credible/roussos_2024/variant_figures/roussos_2024.adolescence.Astrocyte/rs67138019_count_position.png",4,220,900)</f>
        <v/>
      </c>
      <c r="T789">
        <f>IMAGE("https://mitra.stanford.edu/kundaje/oak/projects/neuro-variants/variant_position/credible/roussos_2024/variant_figures/roussos_2024.adolescence.Astrocyte/rs67138019_profile_position.png",4,220,900)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-0.156473274</v>
      </c>
      <c r="G790" t="n">
        <v>0.036883323794119</v>
      </c>
      <c r="H790" t="n">
        <v>0.0226291146939044</v>
      </c>
      <c r="I790" t="n">
        <v>0.0924680435759829</v>
      </c>
      <c r="J790" t="n">
        <v>0.2655831825060083</v>
      </c>
      <c r="K790" t="n">
        <v>0.1542407701742543</v>
      </c>
      <c r="L790" t="b">
        <v>0</v>
      </c>
      <c r="M790" t="b">
        <v>0</v>
      </c>
      <c r="N790" t="inlineStr">
        <is>
          <t>ref</t>
        </is>
      </c>
      <c r="O790" t="n">
        <v>-65</v>
      </c>
      <c r="P790" t="n">
        <v>0.03333</v>
      </c>
      <c r="Q790" t="n">
        <v>-45</v>
      </c>
      <c r="R790" t="n">
        <v>0.2444</v>
      </c>
      <c r="S790">
        <f>IMAGE("https://mitra.stanford.edu/kundaje/oak/projects/neuro-variants/variant_position/credible/roussos_2024/variant_figures/roussos_2024.adolescence.Astrocyte/rs12832940_count_position.png",4,220,900)</f>
        <v/>
      </c>
      <c r="T790">
        <f>IMAGE("https://mitra.stanford.edu/kundaje/oak/projects/neuro-variants/variant_position/credible/roussos_2024/variant_figures/roussos_2024.adolescence.Astrocyte/rs12832940_profile_position.png",4,220,900)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-0.0056043987999999</v>
      </c>
      <c r="G791" t="n">
        <v>0.7978263391990122</v>
      </c>
      <c r="H791" t="n">
        <v>0.0320503617922015</v>
      </c>
      <c r="I791" t="n">
        <v>0.0241530859663926</v>
      </c>
      <c r="J791" t="n">
        <v>0.0006431178233391</v>
      </c>
      <c r="K791" t="n">
        <v>0.9043091685630742</v>
      </c>
      <c r="L791" t="b">
        <v>0</v>
      </c>
      <c r="M791" t="b">
        <v>0</v>
      </c>
      <c r="N791" t="inlineStr">
        <is>
          <t>ref</t>
        </is>
      </c>
      <c r="O791" t="n">
        <v>-65</v>
      </c>
      <c r="P791" t="n">
        <v>0.010025</v>
      </c>
      <c r="Q791" t="n">
        <v>100</v>
      </c>
      <c r="R791" t="n">
        <v>0.05566</v>
      </c>
      <c r="S791">
        <f>IMAGE("https://mitra.stanford.edu/kundaje/oak/projects/neuro-variants/variant_position/credible/roussos_2024/variant_figures/roussos_2024.adolescence.Astrocyte/rs7311973_count_position.png",4,220,900)</f>
        <v/>
      </c>
      <c r="T791">
        <f>IMAGE("https://mitra.stanford.edu/kundaje/oak/projects/neuro-variants/variant_position/credible/roussos_2024/variant_figures/roussos_2024.adolescence.Astrocyte/rs7311973_profile_position.png",4,220,900)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0.0091921304</v>
      </c>
      <c r="G792" t="n">
        <v>0.6517778866565119</v>
      </c>
      <c r="H792" t="n">
        <v>0.0449383139246769</v>
      </c>
      <c r="I792" t="n">
        <v>0.0062198254576906</v>
      </c>
      <c r="J792" t="n">
        <v>0.0008107586861703</v>
      </c>
      <c r="K792" t="n">
        <v>0.8840920729701816</v>
      </c>
      <c r="L792" t="b">
        <v>0</v>
      </c>
      <c r="M792" t="b">
        <v>0</v>
      </c>
      <c r="N792" t="inlineStr">
        <is>
          <t>alt</t>
        </is>
      </c>
      <c r="O792" t="n">
        <v>60</v>
      </c>
      <c r="P792" t="n">
        <v>0.006226</v>
      </c>
      <c r="Q792" t="n">
        <v>95</v>
      </c>
      <c r="R792" t="n">
        <v>0.04492</v>
      </c>
      <c r="S792">
        <f>IMAGE("https://mitra.stanford.edu/kundaje/oak/projects/neuro-variants/variant_position/credible/roussos_2024/variant_figures/roussos_2024.adolescence.Astrocyte/rs11169393_count_position.png",4,220,900)</f>
        <v/>
      </c>
      <c r="T792">
        <f>IMAGE("https://mitra.stanford.edu/kundaje/oak/projects/neuro-variants/variant_position/credible/roussos_2024/variant_figures/roussos_2024.adolescence.Astrocyte/rs11169393_profile_position.png",4,220,900)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0.0099355653399999</v>
      </c>
      <c r="G793" t="n">
        <v>0.7385720317936252</v>
      </c>
      <c r="H793" t="n">
        <v>0.0298991198904316</v>
      </c>
      <c r="I793" t="n">
        <v>0.0317826733559928</v>
      </c>
      <c r="J793" t="n">
        <v>0.0022001008812271</v>
      </c>
      <c r="K793" t="n">
        <v>0.8200292137166337</v>
      </c>
      <c r="L793" t="b">
        <v>0</v>
      </c>
      <c r="M793" t="b">
        <v>0</v>
      </c>
      <c r="N793" t="inlineStr">
        <is>
          <t>alt</t>
        </is>
      </c>
      <c r="O793" t="n">
        <v>-50</v>
      </c>
      <c r="P793" t="n">
        <v>0.012085</v>
      </c>
      <c r="Q793" t="n">
        <v>-100</v>
      </c>
      <c r="R793" t="n">
        <v>0.07275</v>
      </c>
      <c r="S793">
        <f>IMAGE("https://mitra.stanford.edu/kundaje/oak/projects/neuro-variants/variant_position/credible/roussos_2024/variant_figures/roussos_2024.adolescence.Astrocyte/rs12578525_count_position.png",4,220,900)</f>
        <v/>
      </c>
      <c r="T793">
        <f>IMAGE("https://mitra.stanford.edu/kundaje/oak/projects/neuro-variants/variant_position/credible/roussos_2024/variant_figures/roussos_2024.adolescence.Astrocyte/rs12578525_profile_position.png",4,220,900)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-0.002858363154</v>
      </c>
      <c r="G794" t="n">
        <v>0.8702762670932248</v>
      </c>
      <c r="H794" t="n">
        <v>0.0337086712216257</v>
      </c>
      <c r="I794" t="n">
        <v>0.0195829748791253</v>
      </c>
      <c r="J794" t="n">
        <v>0.0021007032014953</v>
      </c>
      <c r="K794" t="n">
        <v>0.8268419106601641</v>
      </c>
      <c r="L794" t="b">
        <v>0</v>
      </c>
      <c r="M794" t="b">
        <v>0</v>
      </c>
      <c r="N794" t="inlineStr">
        <is>
          <t>ref</t>
        </is>
      </c>
      <c r="O794" t="n">
        <v>-55</v>
      </c>
      <c r="P794" t="n">
        <v>0.008659999999999999</v>
      </c>
      <c r="Q794" t="n">
        <v>-55</v>
      </c>
      <c r="R794" t="n">
        <v>0.0703</v>
      </c>
      <c r="S794">
        <f>IMAGE("https://mitra.stanford.edu/kundaje/oak/projects/neuro-variants/variant_position/credible/roussos_2024/variant_figures/roussos_2024.adolescence.Astrocyte/rs140587031_count_position.png",4,220,900)</f>
        <v/>
      </c>
      <c r="T794">
        <f>IMAGE("https://mitra.stanford.edu/kundaje/oak/projects/neuro-variants/variant_position/credible/roussos_2024/variant_figures/roussos_2024.adolescence.Astrocyte/rs140587031_profile_position.png",4,220,900)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-0.2340314839999999</v>
      </c>
      <c r="G795" t="n">
        <v>0.0129503279461082</v>
      </c>
      <c r="H795" t="n">
        <v>0.035350442247687</v>
      </c>
      <c r="I795" t="n">
        <v>0.0169884632988046</v>
      </c>
      <c r="J795" t="n">
        <v>0.4267513277749755</v>
      </c>
      <c r="K795" t="n">
        <v>0.0772081987372628</v>
      </c>
      <c r="L795" t="b">
        <v>1</v>
      </c>
      <c r="M795" t="b">
        <v>0</v>
      </c>
      <c r="N795" t="inlineStr">
        <is>
          <t>ref</t>
        </is>
      </c>
      <c r="O795" t="n">
        <v>0</v>
      </c>
      <c r="P795" t="n">
        <v>0</v>
      </c>
      <c r="Q795" t="n">
        <v>-15</v>
      </c>
      <c r="R795" t="n">
        <v>0.0337</v>
      </c>
      <c r="S795">
        <f>IMAGE("https://mitra.stanford.edu/kundaje/oak/projects/neuro-variants/variant_position/credible/roussos_2024/variant_figures/roussos_2024.adolescence.Astrocyte/rs61928076_count_position.png",4,220,900)</f>
        <v/>
      </c>
      <c r="T795">
        <f>IMAGE("https://mitra.stanford.edu/kundaje/oak/projects/neuro-variants/variant_position/credible/roussos_2024/variant_figures/roussos_2024.adolescence.Astrocyte/rs61928076_profile_position.png",4,220,900)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0.08540428059999999</v>
      </c>
      <c r="G796" t="n">
        <v>0.1071957497393603</v>
      </c>
      <c r="H796" t="n">
        <v>0.011603677565399</v>
      </c>
      <c r="I796" t="n">
        <v>0.5905622953033247</v>
      </c>
      <c r="J796" t="n">
        <v>0.173871020383942</v>
      </c>
      <c r="K796" t="n">
        <v>0.2288491758763619</v>
      </c>
      <c r="L796" t="b">
        <v>0</v>
      </c>
      <c r="M796" t="b">
        <v>0</v>
      </c>
      <c r="N796" t="inlineStr">
        <is>
          <t>alt</t>
        </is>
      </c>
      <c r="O796" t="n">
        <v>95</v>
      </c>
      <c r="P796" t="n">
        <v>0.05414</v>
      </c>
      <c r="Q796" t="n">
        <v>-65</v>
      </c>
      <c r="R796" t="n">
        <v>0.1057</v>
      </c>
      <c r="S796">
        <f>IMAGE("https://mitra.stanford.edu/kundaje/oak/projects/neuro-variants/variant_position/credible/roussos_2024/variant_figures/roussos_2024.adolescence.Astrocyte/rs11170562_count_position.png",4,220,900)</f>
        <v/>
      </c>
      <c r="T796">
        <f>IMAGE("https://mitra.stanford.edu/kundaje/oak/projects/neuro-variants/variant_position/credible/roussos_2024/variant_figures/roussos_2024.adolescence.Astrocyte/rs11170562_profile_position.png",4,220,900)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0.0720289996</v>
      </c>
      <c r="G797" t="n">
        <v>0.1373643187755375</v>
      </c>
      <c r="H797" t="n">
        <v>0.0103530473242351</v>
      </c>
      <c r="I797" t="n">
        <v>0.7247426978904059</v>
      </c>
      <c r="J797" t="n">
        <v>0.0189211642880455</v>
      </c>
      <c r="K797" t="n">
        <v>0.5880518861170053</v>
      </c>
      <c r="L797" t="b">
        <v>0</v>
      </c>
      <c r="M797" t="b">
        <v>0</v>
      </c>
      <c r="N797" t="inlineStr">
        <is>
          <t>alt</t>
        </is>
      </c>
      <c r="O797" t="n">
        <v>-65</v>
      </c>
      <c r="P797" t="n">
        <v>0.01465</v>
      </c>
      <c r="Q797" t="n">
        <v>-90</v>
      </c>
      <c r="R797" t="n">
        <v>0.1455</v>
      </c>
      <c r="S797">
        <f>IMAGE("https://mitra.stanford.edu/kundaje/oak/projects/neuro-variants/variant_position/credible/roussos_2024/variant_figures/roussos_2024.adolescence.Astrocyte/rs7307025_count_position.png",4,220,900)</f>
        <v/>
      </c>
      <c r="T797">
        <f>IMAGE("https://mitra.stanford.edu/kundaje/oak/projects/neuro-variants/variant_position/credible/roussos_2024/variant_figures/roussos_2024.adolescence.Astrocyte/rs7307025_profile_position.png",4,220,900)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0.458272342</v>
      </c>
      <c r="G798" t="n">
        <v>0.0016445896348562</v>
      </c>
      <c r="H798" t="n">
        <v>0.0875308023209931</v>
      </c>
      <c r="I798" t="n">
        <v>0.000577450869101</v>
      </c>
      <c r="J798" t="n">
        <v>0.08193187550069719</v>
      </c>
      <c r="K798" t="n">
        <v>0.3666316612029922</v>
      </c>
      <c r="L798" t="b">
        <v>1</v>
      </c>
      <c r="M798" t="b">
        <v>1</v>
      </c>
      <c r="N798" t="inlineStr">
        <is>
          <t>alt</t>
        </is>
      </c>
      <c r="O798" t="n">
        <v>-60</v>
      </c>
      <c r="P798" t="n">
        <v>0.01306</v>
      </c>
      <c r="Q798" t="n">
        <v>70</v>
      </c>
      <c r="R798" t="n">
        <v>0.09753000000000001</v>
      </c>
      <c r="S798">
        <f>IMAGE("https://mitra.stanford.edu/kundaje/oak/projects/neuro-variants/variant_position/credible/roussos_2024/variant_figures/roussos_2024.adolescence.Astrocyte/rs55844955_count_position.png",4,220,900)</f>
        <v/>
      </c>
      <c r="T798">
        <f>IMAGE("https://mitra.stanford.edu/kundaje/oak/projects/neuro-variants/variant_position/credible/roussos_2024/variant_figures/roussos_2024.adolescence.Astrocyte/rs55844955_profile_position.png",4,220,900)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-0.15978173</v>
      </c>
      <c r="G799" t="n">
        <v>0.0325976139139321</v>
      </c>
      <c r="H799" t="n">
        <v>0.031474308368408</v>
      </c>
      <c r="I799" t="n">
        <v>0.0285245422286766</v>
      </c>
      <c r="J799" t="n">
        <v>0.0429909800314511</v>
      </c>
      <c r="K799" t="n">
        <v>0.4561806085865819</v>
      </c>
      <c r="L799" t="b">
        <v>0</v>
      </c>
      <c r="M799" t="b">
        <v>0</v>
      </c>
      <c r="N799" t="inlineStr">
        <is>
          <t>ref</t>
        </is>
      </c>
      <c r="O799" t="n">
        <v>-15</v>
      </c>
      <c r="P799" t="n">
        <v>0.00569</v>
      </c>
      <c r="Q799" t="n">
        <v>-20</v>
      </c>
      <c r="R799" t="n">
        <v>0.06067</v>
      </c>
      <c r="S799">
        <f>IMAGE("https://mitra.stanford.edu/kundaje/oak/projects/neuro-variants/variant_position/credible/roussos_2024/variant_figures/roussos_2024.adolescence.Astrocyte/rs7973727_count_position.png",4,220,900)</f>
        <v/>
      </c>
      <c r="T799">
        <f>IMAGE("https://mitra.stanford.edu/kundaje/oak/projects/neuro-variants/variant_position/credible/roussos_2024/variant_figures/roussos_2024.adolescence.Astrocyte/rs7973727_profile_position.png",4,220,900)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0.032214782</v>
      </c>
      <c r="G800" t="n">
        <v>0.388110665461167</v>
      </c>
      <c r="H800" t="n">
        <v>0.0176704264210039</v>
      </c>
      <c r="I800" t="n">
        <v>0.2040256757477491</v>
      </c>
      <c r="J800" t="n">
        <v>0.0288646411298697</v>
      </c>
      <c r="K800" t="n">
        <v>0.5201845512244847</v>
      </c>
      <c r="L800" t="b">
        <v>0</v>
      </c>
      <c r="M800" t="b">
        <v>0</v>
      </c>
      <c r="N800" t="inlineStr">
        <is>
          <t>alt</t>
        </is>
      </c>
      <c r="O800" t="n">
        <v>65</v>
      </c>
      <c r="P800" t="n">
        <v>0.0101</v>
      </c>
      <c r="Q800" t="n">
        <v>70</v>
      </c>
      <c r="R800" t="n">
        <v>0.0968</v>
      </c>
      <c r="S800">
        <f>IMAGE("https://mitra.stanford.edu/kundaje/oak/projects/neuro-variants/variant_position/credible/roussos_2024/variant_figures/roussos_2024.adolescence.Astrocyte/rs61924145_count_position.png",4,220,900)</f>
        <v/>
      </c>
      <c r="T800">
        <f>IMAGE("https://mitra.stanford.edu/kundaje/oak/projects/neuro-variants/variant_position/credible/roussos_2024/variant_figures/roussos_2024.adolescence.Astrocyte/rs61924145_profile_position.png",4,220,900)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-0.00771152616</v>
      </c>
      <c r="G801" t="n">
        <v>0.6824754612569931</v>
      </c>
      <c r="H801" t="n">
        <v>0.0071567923727651</v>
      </c>
      <c r="I801" t="n">
        <v>0.961068758247879</v>
      </c>
      <c r="J801" t="n">
        <v>0.0021748805744295</v>
      </c>
      <c r="K801" t="n">
        <v>0.8270871636588827</v>
      </c>
      <c r="L801" t="b">
        <v>0</v>
      </c>
      <c r="M801" t="b">
        <v>0</v>
      </c>
      <c r="N801" t="inlineStr">
        <is>
          <t>ref</t>
        </is>
      </c>
      <c r="O801" t="n">
        <v>-30</v>
      </c>
      <c r="P801" t="n">
        <v>0.003101</v>
      </c>
      <c r="Q801" t="n">
        <v>-80</v>
      </c>
      <c r="R801" t="n">
        <v>0.07825</v>
      </c>
      <c r="S801">
        <f>IMAGE("https://mitra.stanford.edu/kundaje/oak/projects/neuro-variants/variant_position/credible/roussos_2024/variant_figures/roussos_2024.adolescence.Astrocyte/rs12302711_count_position.png",4,220,900)</f>
        <v/>
      </c>
      <c r="T801">
        <f>IMAGE("https://mitra.stanford.edu/kundaje/oak/projects/neuro-variants/variant_position/credible/roussos_2024/variant_figures/roussos_2024.adolescence.Astrocyte/rs12302711_profile_position.png",4,220,900)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-0.0280413515999999</v>
      </c>
      <c r="G802" t="n">
        <v>0.4324010509056253</v>
      </c>
      <c r="H802" t="n">
        <v>0.0224406470452471</v>
      </c>
      <c r="I802" t="n">
        <v>0.0945651553815903</v>
      </c>
      <c r="J802" t="n">
        <v>0.0030924546776251</v>
      </c>
      <c r="K802" t="n">
        <v>0.7942159601940897</v>
      </c>
      <c r="L802" t="b">
        <v>0</v>
      </c>
      <c r="M802" t="b">
        <v>0</v>
      </c>
      <c r="N802" t="inlineStr">
        <is>
          <t>ref</t>
        </is>
      </c>
      <c r="O802" t="n">
        <v>-80</v>
      </c>
      <c r="P802" t="n">
        <v>0.006783</v>
      </c>
      <c r="Q802" t="n">
        <v>-100</v>
      </c>
      <c r="R802" t="n">
        <v>0.2266</v>
      </c>
      <c r="S802">
        <f>IMAGE("https://mitra.stanford.edu/kundaje/oak/projects/neuro-variants/variant_position/credible/roussos_2024/variant_figures/roussos_2024.adolescence.Astrocyte/rs17110384_count_position.png",4,220,900)</f>
        <v/>
      </c>
      <c r="T802">
        <f>IMAGE("https://mitra.stanford.edu/kundaje/oak/projects/neuro-variants/variant_position/credible/roussos_2024/variant_figures/roussos_2024.adolescence.Astrocyte/rs17110384_profile_position.png",4,220,900)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-0.243865188</v>
      </c>
      <c r="G803" t="n">
        <v>0.0117727863736339</v>
      </c>
      <c r="H803" t="n">
        <v>0.0379066080396243</v>
      </c>
      <c r="I803" t="n">
        <v>0.0125792979887769</v>
      </c>
      <c r="J803" t="n">
        <v>0.0048927395187371</v>
      </c>
      <c r="K803" t="n">
        <v>0.7546027072517205</v>
      </c>
      <c r="L803" t="b">
        <v>1</v>
      </c>
      <c r="M803" t="b">
        <v>0</v>
      </c>
      <c r="N803" t="inlineStr">
        <is>
          <t>ref</t>
        </is>
      </c>
      <c r="O803" t="n">
        <v>-15</v>
      </c>
      <c r="P803" t="n">
        <v>0.006443</v>
      </c>
      <c r="Q803" t="n">
        <v>-45</v>
      </c>
      <c r="R803" t="n">
        <v>0.0949</v>
      </c>
      <c r="S803">
        <f>IMAGE("https://mitra.stanford.edu/kundaje/oak/projects/neuro-variants/variant_position/credible/roussos_2024/variant_figures/roussos_2024.adolescence.Astrocyte/rs17110387_count_position.png",4,220,900)</f>
        <v/>
      </c>
      <c r="T803">
        <f>IMAGE("https://mitra.stanford.edu/kundaje/oak/projects/neuro-variants/variant_position/credible/roussos_2024/variant_figures/roussos_2024.adolescence.Astrocyte/rs17110387_profile_position.png",4,220,900)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0.08634015740000001</v>
      </c>
      <c r="G804" t="n">
        <v>0.1120902110152688</v>
      </c>
      <c r="H804" t="n">
        <v>0.0206744914621684</v>
      </c>
      <c r="I804" t="n">
        <v>0.1229188844034432</v>
      </c>
      <c r="J804" t="n">
        <v>0.0086728184434619</v>
      </c>
      <c r="K804" t="n">
        <v>0.6846589481682626</v>
      </c>
      <c r="L804" t="b">
        <v>0</v>
      </c>
      <c r="M804" t="b">
        <v>0</v>
      </c>
      <c r="N804" t="inlineStr">
        <is>
          <t>alt</t>
        </is>
      </c>
      <c r="O804" t="n">
        <v>-100</v>
      </c>
      <c r="P804" t="n">
        <v>0.0075</v>
      </c>
      <c r="Q804" t="n">
        <v>-100</v>
      </c>
      <c r="R804" t="n">
        <v>0.1024</v>
      </c>
      <c r="S804">
        <f>IMAGE("https://mitra.stanford.edu/kundaje/oak/projects/neuro-variants/variant_position/credible/roussos_2024/variant_figures/roussos_2024.adolescence.Astrocyte/rs11178985_count_position.png",4,220,900)</f>
        <v/>
      </c>
      <c r="T804">
        <f>IMAGE("https://mitra.stanford.edu/kundaje/oak/projects/neuro-variants/variant_position/credible/roussos_2024/variant_figures/roussos_2024.adolescence.Astrocyte/rs11178985_profile_position.png",4,220,900)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-0.02731878406</v>
      </c>
      <c r="G805" t="n">
        <v>0.4528711928608134</v>
      </c>
      <c r="H805" t="n">
        <v>0.0138081029051028</v>
      </c>
      <c r="I805" t="n">
        <v>0.4033915499264028</v>
      </c>
      <c r="J805" t="n">
        <v>0.0044499006023202</v>
      </c>
      <c r="K805" t="n">
        <v>0.7524826461315565</v>
      </c>
      <c r="L805" t="b">
        <v>0</v>
      </c>
      <c r="M805" t="b">
        <v>0</v>
      </c>
      <c r="N805" t="inlineStr">
        <is>
          <t>ref</t>
        </is>
      </c>
      <c r="O805" t="n">
        <v>100</v>
      </c>
      <c r="P805" t="n">
        <v>0.00615</v>
      </c>
      <c r="Q805" t="n">
        <v>95</v>
      </c>
      <c r="R805" t="n">
        <v>0.09080000000000001</v>
      </c>
      <c r="S805">
        <f>IMAGE("https://mitra.stanford.edu/kundaje/oak/projects/neuro-variants/variant_position/credible/roussos_2024/variant_figures/roussos_2024.adolescence.Astrocyte/rs10506643_count_position.png",4,220,900)</f>
        <v/>
      </c>
      <c r="T805">
        <f>IMAGE("https://mitra.stanford.edu/kundaje/oak/projects/neuro-variants/variant_position/credible/roussos_2024/variant_figures/roussos_2024.adolescence.Astrocyte/rs10506643_profile_position.png",4,220,900)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0.009866531539999999</v>
      </c>
      <c r="G806" t="n">
        <v>0.7147624145579738</v>
      </c>
      <c r="H806" t="n">
        <v>0.0075552340379806</v>
      </c>
      <c r="I806" t="n">
        <v>0.943496889212428</v>
      </c>
      <c r="J806" t="n">
        <v>0.0002054713230275</v>
      </c>
      <c r="K806" t="n">
        <v>0.9548303297246368</v>
      </c>
      <c r="L806" t="b">
        <v>0</v>
      </c>
      <c r="M806" t="b">
        <v>0</v>
      </c>
      <c r="N806" t="inlineStr">
        <is>
          <t>alt</t>
        </is>
      </c>
      <c r="O806" t="n">
        <v>60</v>
      </c>
      <c r="P806" t="n">
        <v>0.003204</v>
      </c>
      <c r="Q806" t="n">
        <v>-75</v>
      </c>
      <c r="R806" t="n">
        <v>0.06525</v>
      </c>
      <c r="S806">
        <f>IMAGE("https://mitra.stanford.edu/kundaje/oak/projects/neuro-variants/variant_position/credible/roussos_2024/variant_figures/roussos_2024.adolescence.Astrocyte/rs7955462_count_position.png",4,220,900)</f>
        <v/>
      </c>
      <c r="T806">
        <f>IMAGE("https://mitra.stanford.edu/kundaje/oak/projects/neuro-variants/variant_position/credible/roussos_2024/variant_figures/roussos_2024.adolescence.Astrocyte/rs7955462_profile_position.png",4,220,900)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0.0079871745999999</v>
      </c>
      <c r="G807" t="n">
        <v>0.7436039284538055</v>
      </c>
      <c r="H807" t="n">
        <v>0.0470682830398625</v>
      </c>
      <c r="I807" t="n">
        <v>0.0049586697335665</v>
      </c>
      <c r="J807" t="n">
        <v>0.00096875649052</v>
      </c>
      <c r="K807" t="n">
        <v>0.8879732922859516</v>
      </c>
      <c r="L807" t="b">
        <v>0</v>
      </c>
      <c r="M807" t="b">
        <v>0</v>
      </c>
      <c r="N807" t="inlineStr">
        <is>
          <t>alt</t>
        </is>
      </c>
      <c r="O807" t="n">
        <v>-10</v>
      </c>
      <c r="P807" t="n">
        <v>0.001282</v>
      </c>
      <c r="Q807" t="n">
        <v>-100</v>
      </c>
      <c r="R807" t="n">
        <v>0.1816</v>
      </c>
      <c r="S807">
        <f>IMAGE("https://mitra.stanford.edu/kundaje/oak/projects/neuro-variants/variant_position/credible/roussos_2024/variant_figures/roussos_2024.adolescence.Astrocyte/rs6582256_count_position.png",4,220,900)</f>
        <v/>
      </c>
      <c r="T807">
        <f>IMAGE("https://mitra.stanford.edu/kundaje/oak/projects/neuro-variants/variant_position/credible/roussos_2024/variant_figures/roussos_2024.adolescence.Astrocyte/rs6582256_profile_position.png",4,220,900)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0.0103931862</v>
      </c>
      <c r="G808" t="n">
        <v>0.6899112492583838</v>
      </c>
      <c r="H808" t="n">
        <v>0.0212166969863519</v>
      </c>
      <c r="I808" t="n">
        <v>0.1116852559076322</v>
      </c>
      <c r="J808" t="n">
        <v>0.0227650357534937</v>
      </c>
      <c r="K808" t="n">
        <v>0.5678712944572091</v>
      </c>
      <c r="L808" t="b">
        <v>0</v>
      </c>
      <c r="M808" t="b">
        <v>0</v>
      </c>
      <c r="N808" t="inlineStr">
        <is>
          <t>alt</t>
        </is>
      </c>
      <c r="O808" t="n">
        <v>30</v>
      </c>
      <c r="P808" t="n">
        <v>0.0047</v>
      </c>
      <c r="Q808" t="n">
        <v>100</v>
      </c>
      <c r="R808" t="n">
        <v>0.4536</v>
      </c>
      <c r="S808">
        <f>IMAGE("https://mitra.stanford.edu/kundaje/oak/projects/neuro-variants/variant_position/credible/roussos_2024/variant_figures/roussos_2024.adolescence.Astrocyte/rs6582260_count_position.png",4,220,900)</f>
        <v/>
      </c>
      <c r="T808">
        <f>IMAGE("https://mitra.stanford.edu/kundaje/oak/projects/neuro-variants/variant_position/credible/roussos_2024/variant_figures/roussos_2024.adolescence.Astrocyte/rs6582260_profile_position.png",4,220,900)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-0.0326886112</v>
      </c>
      <c r="G809" t="n">
        <v>0.411536503732808</v>
      </c>
      <c r="H809" t="n">
        <v>0.0096997600166693</v>
      </c>
      <c r="I809" t="n">
        <v>0.7351106409077038</v>
      </c>
      <c r="J809" t="n">
        <v>0.0041138771029284</v>
      </c>
      <c r="K809" t="n">
        <v>0.7666112142596988</v>
      </c>
      <c r="L809" t="b">
        <v>0</v>
      </c>
      <c r="M809" t="b">
        <v>0</v>
      </c>
      <c r="N809" t="inlineStr">
        <is>
          <t>ref</t>
        </is>
      </c>
      <c r="O809" t="n">
        <v>-100</v>
      </c>
      <c r="P809" t="n">
        <v>0.05646</v>
      </c>
      <c r="Q809" t="n">
        <v>-100</v>
      </c>
      <c r="R809" t="n">
        <v>0.08057</v>
      </c>
      <c r="S809">
        <f>IMAGE("https://mitra.stanford.edu/kundaje/oak/projects/neuro-variants/variant_position/credible/roussos_2024/variant_figures/roussos_2024.adolescence.Astrocyte/rs12316904_count_position.png",4,220,900)</f>
        <v/>
      </c>
      <c r="T809">
        <f>IMAGE("https://mitra.stanford.edu/kundaje/oak/projects/neuro-variants/variant_position/credible/roussos_2024/variant_figures/roussos_2024.adolescence.Astrocyte/rs12316904_profile_position.png",4,220,900)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0.00209952786</v>
      </c>
      <c r="G810" t="n">
        <v>0.7844788793952445</v>
      </c>
      <c r="H810" t="n">
        <v>0.0289537090701825</v>
      </c>
      <c r="I810" t="n">
        <v>0.0361609028541284</v>
      </c>
      <c r="J810" t="n">
        <v>0.0199551968667477</v>
      </c>
      <c r="K810" t="n">
        <v>0.5799939827727426</v>
      </c>
      <c r="L810" t="b">
        <v>0</v>
      </c>
      <c r="M810" t="b">
        <v>0</v>
      </c>
      <c r="N810" t="inlineStr">
        <is>
          <t>alt</t>
        </is>
      </c>
      <c r="O810" t="n">
        <v>-100</v>
      </c>
      <c r="P810" t="n">
        <v>0.003937</v>
      </c>
      <c r="Q810" t="n">
        <v>-80</v>
      </c>
      <c r="R810" t="n">
        <v>0.06510000000000001</v>
      </c>
      <c r="S810">
        <f>IMAGE("https://mitra.stanford.edu/kundaje/oak/projects/neuro-variants/variant_position/credible/roussos_2024/variant_figures/roussos_2024.adolescence.Astrocyte/rs1526821_count_position.png",4,220,900)</f>
        <v/>
      </c>
      <c r="T810">
        <f>IMAGE("https://mitra.stanford.edu/kundaje/oak/projects/neuro-variants/variant_position/credible/roussos_2024/variant_figures/roussos_2024.adolescence.Astrocyte/rs1526821_profile_position.png",4,220,900)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-0.0165790606</v>
      </c>
      <c r="G811" t="n">
        <v>0.6080090557801552</v>
      </c>
      <c r="H811" t="n">
        <v>0.0159041792699712</v>
      </c>
      <c r="I811" t="n">
        <v>0.2749860848587028</v>
      </c>
      <c r="J811" t="n">
        <v>0.0282215233065305</v>
      </c>
      <c r="K811" t="n">
        <v>0.5332120841218684</v>
      </c>
      <c r="L811" t="b">
        <v>0</v>
      </c>
      <c r="M811" t="b">
        <v>0</v>
      </c>
      <c r="N811" t="inlineStr">
        <is>
          <t>ref</t>
        </is>
      </c>
      <c r="O811" t="n">
        <v>-100</v>
      </c>
      <c r="P811" t="n">
        <v>0.009094</v>
      </c>
      <c r="Q811" t="n">
        <v>-100</v>
      </c>
      <c r="R811" t="n">
        <v>0.3037</v>
      </c>
      <c r="S811">
        <f>IMAGE("https://mitra.stanford.edu/kundaje/oak/projects/neuro-variants/variant_position/credible/roussos_2024/variant_figures/roussos_2024.adolescence.Astrocyte/rs12315638_count_position.png",4,220,900)</f>
        <v/>
      </c>
      <c r="T811">
        <f>IMAGE("https://mitra.stanford.edu/kundaje/oak/projects/neuro-variants/variant_position/credible/roussos_2024/variant_figures/roussos_2024.adolescence.Astrocyte/rs12315638_profile_position.png",4,220,900)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-0.0135355921999999</v>
      </c>
      <c r="G812" t="n">
        <v>0.4629893317270065</v>
      </c>
      <c r="H812" t="n">
        <v>0.0119745395260952</v>
      </c>
      <c r="I812" t="n">
        <v>0.5474135041176943</v>
      </c>
      <c r="J812" t="n">
        <v>0.0004116844197845</v>
      </c>
      <c r="K812" t="n">
        <v>0.9315328295452512</v>
      </c>
      <c r="L812" t="b">
        <v>0</v>
      </c>
      <c r="M812" t="b">
        <v>0</v>
      </c>
      <c r="N812" t="inlineStr">
        <is>
          <t>ref</t>
        </is>
      </c>
      <c r="O812" t="n">
        <v>100</v>
      </c>
      <c r="P812" t="n">
        <v>0.01765</v>
      </c>
      <c r="Q812" t="n">
        <v>-50</v>
      </c>
      <c r="R812" t="n">
        <v>0.03516</v>
      </c>
      <c r="S812">
        <f>IMAGE("https://mitra.stanford.edu/kundaje/oak/projects/neuro-variants/variant_position/credible/roussos_2024/variant_figures/roussos_2024.adolescence.Astrocyte/rs11180302_count_position.png",4,220,900)</f>
        <v/>
      </c>
      <c r="T812">
        <f>IMAGE("https://mitra.stanford.edu/kundaje/oak/projects/neuro-variants/variant_position/credible/roussos_2024/variant_figures/roussos_2024.adolescence.Astrocyte/rs11180302_profile_position.png",4,220,900)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0.0310333814</v>
      </c>
      <c r="G813" t="n">
        <v>0.3882402836003092</v>
      </c>
      <c r="H813" t="n">
        <v>0.0124961144303724</v>
      </c>
      <c r="I813" t="n">
        <v>0.5066866038827063</v>
      </c>
      <c r="J813" t="n">
        <v>0.0002900335281725</v>
      </c>
      <c r="K813" t="n">
        <v>0.9411329208418991</v>
      </c>
      <c r="L813" t="b">
        <v>0</v>
      </c>
      <c r="M813" t="b">
        <v>0</v>
      </c>
      <c r="N813" t="inlineStr">
        <is>
          <t>alt</t>
        </is>
      </c>
      <c r="O813" t="n">
        <v>90</v>
      </c>
      <c r="P813" t="n">
        <v>0.04346</v>
      </c>
      <c r="Q813" t="n">
        <v>90</v>
      </c>
      <c r="R813" t="n">
        <v>0.1113</v>
      </c>
      <c r="S813">
        <f>IMAGE("https://mitra.stanford.edu/kundaje/oak/projects/neuro-variants/variant_position/credible/roussos_2024/variant_figures/roussos_2024.adolescence.Astrocyte/rs1526803_count_position.png",4,220,900)</f>
        <v/>
      </c>
      <c r="T813">
        <f>IMAGE("https://mitra.stanford.edu/kundaje/oak/projects/neuro-variants/variant_position/credible/roussos_2024/variant_figures/roussos_2024.adolescence.Astrocyte/rs1526803_profile_position.png",4,220,900)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0.0132185428</v>
      </c>
      <c r="G814" t="n">
        <v>0.6594031783771079</v>
      </c>
      <c r="H814" t="n">
        <v>0.0246772893925441</v>
      </c>
      <c r="I814" t="n">
        <v>0.06643646095944949</v>
      </c>
      <c r="J814" t="n">
        <v>0.0096660534670503</v>
      </c>
      <c r="K814" t="n">
        <v>0.6666273200353299</v>
      </c>
      <c r="L814" t="b">
        <v>0</v>
      </c>
      <c r="M814" t="b">
        <v>0</v>
      </c>
      <c r="N814" t="inlineStr">
        <is>
          <t>alt</t>
        </is>
      </c>
      <c r="O814" t="n">
        <v>35</v>
      </c>
      <c r="P814" t="n">
        <v>0.01253</v>
      </c>
      <c r="Q814" t="n">
        <v>75</v>
      </c>
      <c r="R814" t="n">
        <v>0.0696</v>
      </c>
      <c r="S814">
        <f>IMAGE("https://mitra.stanford.edu/kundaje/oak/projects/neuro-variants/variant_position/credible/roussos_2024/variant_figures/roussos_2024.adolescence.Astrocyte/rs952408_count_position.png",4,220,900)</f>
        <v/>
      </c>
      <c r="T814">
        <f>IMAGE("https://mitra.stanford.edu/kundaje/oak/projects/neuro-variants/variant_position/credible/roussos_2024/variant_figures/roussos_2024.adolescence.Astrocyte/rs952408_profile_position.png",4,220,900)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-0.0867163438</v>
      </c>
      <c r="G815" t="n">
        <v>0.1385343212715147</v>
      </c>
      <c r="H815" t="n">
        <v>0.0194362179481973</v>
      </c>
      <c r="I815" t="n">
        <v>0.1515336029371738</v>
      </c>
      <c r="J815" t="n">
        <v>0.1158754413553689</v>
      </c>
      <c r="K815" t="n">
        <v>0.3048177427229723</v>
      </c>
      <c r="L815" t="b">
        <v>0</v>
      </c>
      <c r="M815" t="b">
        <v>0</v>
      </c>
      <c r="N815" t="inlineStr">
        <is>
          <t>ref</t>
        </is>
      </c>
      <c r="O815" t="n">
        <v>50</v>
      </c>
      <c r="P815" t="n">
        <v>0.00522</v>
      </c>
      <c r="Q815" t="n">
        <v>90</v>
      </c>
      <c r="R815" t="n">
        <v>0.1808</v>
      </c>
      <c r="S815">
        <f>IMAGE("https://mitra.stanford.edu/kundaje/oak/projects/neuro-variants/variant_position/credible/roussos_2024/variant_figures/roussos_2024.adolescence.Astrocyte/rs12300503_count_position.png",4,220,900)</f>
        <v/>
      </c>
      <c r="T815">
        <f>IMAGE("https://mitra.stanford.edu/kundaje/oak/projects/neuro-variants/variant_position/credible/roussos_2024/variant_figures/roussos_2024.adolescence.Astrocyte/rs12300503_profile_position.png",4,220,900)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-0.044012493</v>
      </c>
      <c r="G816" t="n">
        <v>0.2745890955211582</v>
      </c>
      <c r="H816" t="n">
        <v>0.0117583593029177</v>
      </c>
      <c r="I816" t="n">
        <v>0.5810521166056998</v>
      </c>
      <c r="J816" t="n">
        <v>0.0022483161736343</v>
      </c>
      <c r="K816" t="n">
        <v>0.8062846995700467</v>
      </c>
      <c r="L816" t="b">
        <v>0</v>
      </c>
      <c r="M816" t="b">
        <v>0</v>
      </c>
      <c r="N816" t="inlineStr">
        <is>
          <t>ref</t>
        </is>
      </c>
      <c r="O816" t="n">
        <v>40</v>
      </c>
      <c r="P816" t="n">
        <v>0.004883</v>
      </c>
      <c r="Q816" t="n">
        <v>25</v>
      </c>
      <c r="R816" t="n">
        <v>0.05005</v>
      </c>
      <c r="S816">
        <f>IMAGE("https://mitra.stanford.edu/kundaje/oak/projects/neuro-variants/variant_position/credible/roussos_2024/variant_figures/roussos_2024.adolescence.Astrocyte/rs17014518_count_position.png",4,220,900)</f>
        <v/>
      </c>
      <c r="T816">
        <f>IMAGE("https://mitra.stanford.edu/kundaje/oak/projects/neuro-variants/variant_position/credible/roussos_2024/variant_figures/roussos_2024.adolescence.Astrocyte/rs17014518_profile_position.png",4,220,900)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0.0363674234</v>
      </c>
      <c r="G817" t="n">
        <v>0.3336744971545715</v>
      </c>
      <c r="H817" t="n">
        <v>0.0128554065271001</v>
      </c>
      <c r="I817" t="n">
        <v>0.4810534947263083</v>
      </c>
      <c r="J817" t="n">
        <v>0.0496966145446992</v>
      </c>
      <c r="K817" t="n">
        <v>0.4402162335521432</v>
      </c>
      <c r="L817" t="b">
        <v>0</v>
      </c>
      <c r="M817" t="b">
        <v>0</v>
      </c>
      <c r="N817" t="inlineStr">
        <is>
          <t>alt</t>
        </is>
      </c>
      <c r="O817" t="n">
        <v>90</v>
      </c>
      <c r="P817" t="n">
        <v>0.006294</v>
      </c>
      <c r="Q817" t="n">
        <v>-90</v>
      </c>
      <c r="R817" t="n">
        <v>0.12054</v>
      </c>
      <c r="S817">
        <f>IMAGE("https://mitra.stanford.edu/kundaje/oak/projects/neuro-variants/variant_position/credible/roussos_2024/variant_figures/roussos_2024.adolescence.Astrocyte/rs66619626_count_position.png",4,220,900)</f>
        <v/>
      </c>
      <c r="T817">
        <f>IMAGE("https://mitra.stanford.edu/kundaje/oak/projects/neuro-variants/variant_position/credible/roussos_2024/variant_figures/roussos_2024.adolescence.Astrocyte/rs66619626_profile_position.png",4,220,900)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-0.0419276281</v>
      </c>
      <c r="G818" t="n">
        <v>0.3096850809611188</v>
      </c>
      <c r="H818" t="n">
        <v>0.0348668466844084</v>
      </c>
      <c r="I818" t="n">
        <v>0.0169317783724901</v>
      </c>
      <c r="J818" t="n">
        <v>3.263804409103047e-05</v>
      </c>
      <c r="K818" t="n">
        <v>0.9986588020406491</v>
      </c>
      <c r="L818" t="b">
        <v>0</v>
      </c>
      <c r="M818" t="b">
        <v>0</v>
      </c>
      <c r="N818" t="inlineStr">
        <is>
          <t>ref</t>
        </is>
      </c>
      <c r="O818" t="n">
        <v>90</v>
      </c>
      <c r="P818" t="n">
        <v>0.003342</v>
      </c>
      <c r="Q818" t="n">
        <v>-100</v>
      </c>
      <c r="R818" t="n">
        <v>0.0614</v>
      </c>
      <c r="S818">
        <f>IMAGE("https://mitra.stanford.edu/kundaje/oak/projects/neuro-variants/variant_position/credible/roussos_2024/variant_figures/roussos_2024.adolescence.Astrocyte/rs11104403_count_position.png",4,220,900)</f>
        <v/>
      </c>
      <c r="T818">
        <f>IMAGE("https://mitra.stanford.edu/kundaje/oak/projects/neuro-variants/variant_position/credible/roussos_2024/variant_figures/roussos_2024.adolescence.Astrocyte/rs11104403_profile_position.png",4,220,900)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-0.1274817448</v>
      </c>
      <c r="G819" t="n">
        <v>0.0551796441175742</v>
      </c>
      <c r="H819" t="n">
        <v>0.022123055453183</v>
      </c>
      <c r="I819" t="n">
        <v>0.0974058799289971</v>
      </c>
      <c r="J819" t="n">
        <v>3.041272290300567e-05</v>
      </c>
      <c r="K819" t="n">
        <v>0.9984661971121584</v>
      </c>
      <c r="L819" t="b">
        <v>0</v>
      </c>
      <c r="M819" t="b">
        <v>0</v>
      </c>
      <c r="N819" t="inlineStr">
        <is>
          <t>ref</t>
        </is>
      </c>
      <c r="O819" t="n">
        <v>-70</v>
      </c>
      <c r="P819" t="n">
        <v>0.000977</v>
      </c>
      <c r="Q819" t="n">
        <v>-85</v>
      </c>
      <c r="R819" t="n">
        <v>0.04495</v>
      </c>
      <c r="S819">
        <f>IMAGE("https://mitra.stanford.edu/kundaje/oak/projects/neuro-variants/variant_position/credible/roussos_2024/variant_figures/roussos_2024.adolescence.Astrocyte/rs12815820_count_position.png",4,220,900)</f>
        <v/>
      </c>
      <c r="T819">
        <f>IMAGE("https://mitra.stanford.edu/kundaje/oak/projects/neuro-variants/variant_position/credible/roussos_2024/variant_figures/roussos_2024.adolescence.Astrocyte/rs12815820_profile_position.png",4,220,900)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0.02596245894</v>
      </c>
      <c r="G820" t="n">
        <v>0.4526996801342459</v>
      </c>
      <c r="H820" t="n">
        <v>0.0199594514519022</v>
      </c>
      <c r="I820" t="n">
        <v>0.1365593769576997</v>
      </c>
      <c r="J820" t="n">
        <v>0.0042043734979081</v>
      </c>
      <c r="K820" t="n">
        <v>0.7566572500775862</v>
      </c>
      <c r="L820" t="b">
        <v>0</v>
      </c>
      <c r="M820" t="b">
        <v>0</v>
      </c>
      <c r="N820" t="inlineStr">
        <is>
          <t>alt</t>
        </is>
      </c>
      <c r="O820" t="n">
        <v>-45</v>
      </c>
      <c r="P820" t="n">
        <v>0.002281</v>
      </c>
      <c r="Q820" t="n">
        <v>-60</v>
      </c>
      <c r="R820" t="n">
        <v>0.0407</v>
      </c>
      <c r="S820">
        <f>IMAGE("https://mitra.stanford.edu/kundaje/oak/projects/neuro-variants/variant_position/credible/roussos_2024/variant_figures/roussos_2024.adolescence.Astrocyte/rs725421_count_position.png",4,220,900)</f>
        <v/>
      </c>
      <c r="T820">
        <f>IMAGE("https://mitra.stanford.edu/kundaje/oak/projects/neuro-variants/variant_position/credible/roussos_2024/variant_figures/roussos_2024.adolescence.Astrocyte/rs725421_profile_position.png",4,220,900)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-0.0016791698799999</v>
      </c>
      <c r="G821" t="n">
        <v>0.4426173766203766</v>
      </c>
      <c r="H821" t="n">
        <v>0.0164710934346342</v>
      </c>
      <c r="I821" t="n">
        <v>0.2511363338055847</v>
      </c>
      <c r="J821" t="n">
        <v>0.3413108625344924</v>
      </c>
      <c r="K821" t="n">
        <v>0.1124006329927889</v>
      </c>
      <c r="L821" t="b">
        <v>0</v>
      </c>
      <c r="M821" t="b">
        <v>0</v>
      </c>
      <c r="N821" t="inlineStr">
        <is>
          <t>ref</t>
        </is>
      </c>
      <c r="O821" t="n">
        <v>20</v>
      </c>
      <c r="P821" t="n">
        <v>0.000702</v>
      </c>
      <c r="Q821" t="n">
        <v>15</v>
      </c>
      <c r="R821" t="n">
        <v>0.01611</v>
      </c>
      <c r="S821">
        <f>IMAGE("https://mitra.stanford.edu/kundaje/oak/projects/neuro-variants/variant_position/credible/roussos_2024/variant_figures/roussos_2024.adolescence.Astrocyte/rs7972062_count_position.png",4,220,900)</f>
        <v/>
      </c>
      <c r="T821">
        <f>IMAGE("https://mitra.stanford.edu/kundaje/oak/projects/neuro-variants/variant_position/credible/roussos_2024/variant_figures/roussos_2024.adolescence.Astrocyte/rs7972062_profile_position.png",4,220,900)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0.2464633569999999</v>
      </c>
      <c r="G822" t="n">
        <v>0.0125774746159577</v>
      </c>
      <c r="H822" t="n">
        <v>0.0260413643830193</v>
      </c>
      <c r="I822" t="n">
        <v>0.0606697833417269</v>
      </c>
      <c r="J822" t="n">
        <v>0.307602438952022</v>
      </c>
      <c r="K822" t="n">
        <v>0.1292336665959023</v>
      </c>
      <c r="L822" t="b">
        <v>1</v>
      </c>
      <c r="M822" t="b">
        <v>0</v>
      </c>
      <c r="N822" t="inlineStr">
        <is>
          <t>alt</t>
        </is>
      </c>
      <c r="O822" t="n">
        <v>30</v>
      </c>
      <c r="P822" t="n">
        <v>0.001572</v>
      </c>
      <c r="Q822" t="n">
        <v>-15</v>
      </c>
      <c r="R822" t="n">
        <v>0.01904</v>
      </c>
      <c r="S822">
        <f>IMAGE("https://mitra.stanford.edu/kundaje/oak/projects/neuro-variants/variant_position/credible/roussos_2024/variant_figures/roussos_2024.adolescence.Astrocyte/rs10858579_count_position.png",4,220,900)</f>
        <v/>
      </c>
      <c r="T822">
        <f>IMAGE("https://mitra.stanford.edu/kundaje/oak/projects/neuro-variants/variant_position/credible/roussos_2024/variant_figures/roussos_2024.adolescence.Astrocyte/rs10858579_profile_position.png",4,220,900)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0.0337792776</v>
      </c>
      <c r="G823" t="n">
        <v>0.374852434356788</v>
      </c>
      <c r="H823" t="n">
        <v>0.0447394132547698</v>
      </c>
      <c r="I823" t="n">
        <v>0.0061446468475654</v>
      </c>
      <c r="J823" t="n">
        <v>0.0036866154348277</v>
      </c>
      <c r="K823" t="n">
        <v>0.770700394027329</v>
      </c>
      <c r="L823" t="b">
        <v>0</v>
      </c>
      <c r="M823" t="b">
        <v>0</v>
      </c>
      <c r="N823" t="inlineStr">
        <is>
          <t>alt</t>
        </is>
      </c>
      <c r="O823" t="n">
        <v>100</v>
      </c>
      <c r="P823" t="n">
        <v>0.01569</v>
      </c>
      <c r="Q823" t="n">
        <v>-45</v>
      </c>
      <c r="R823" t="n">
        <v>0.11456</v>
      </c>
      <c r="S823">
        <f>IMAGE("https://mitra.stanford.edu/kundaje/oak/projects/neuro-variants/variant_position/credible/roussos_2024/variant_figures/roussos_2024.adolescence.Astrocyte/rs1845141_count_position.png",4,220,900)</f>
        <v/>
      </c>
      <c r="T823">
        <f>IMAGE("https://mitra.stanford.edu/kundaje/oak/projects/neuro-variants/variant_position/credible/roussos_2024/variant_figures/roussos_2024.adolescence.Astrocyte/rs1845141_profile_position.png",4,220,900)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0.271407566</v>
      </c>
      <c r="G824" t="n">
        <v>0.0093801405922239</v>
      </c>
      <c r="H824" t="n">
        <v>0.0250832928048646</v>
      </c>
      <c r="I824" t="n">
        <v>0.0697899611381728</v>
      </c>
      <c r="J824" t="n">
        <v>0.0311782333916861</v>
      </c>
      <c r="K824" t="n">
        <v>0.5112128451158845</v>
      </c>
      <c r="L824" t="b">
        <v>1</v>
      </c>
      <c r="M824" t="b">
        <v>1</v>
      </c>
      <c r="N824" t="inlineStr">
        <is>
          <t>alt</t>
        </is>
      </c>
      <c r="O824" t="n">
        <v>-60</v>
      </c>
      <c r="P824" t="n">
        <v>0.01511</v>
      </c>
      <c r="Q824" t="n">
        <v>35</v>
      </c>
      <c r="R824" t="n">
        <v>0.05933</v>
      </c>
      <c r="S824">
        <f>IMAGE("https://mitra.stanford.edu/kundaje/oak/projects/neuro-variants/variant_position/credible/roussos_2024/variant_figures/roussos_2024.adolescence.Astrocyte/rs7308051_count_position.png",4,220,900)</f>
        <v/>
      </c>
      <c r="T824">
        <f>IMAGE("https://mitra.stanford.edu/kundaje/oak/projects/neuro-variants/variant_position/credible/roussos_2024/variant_figures/roussos_2024.adolescence.Astrocyte/rs7308051_profile_position.png",4,220,900)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0.0460202417999999</v>
      </c>
      <c r="G825" t="n">
        <v>0.2133648736872616</v>
      </c>
      <c r="H825" t="n">
        <v>0.0155281324141037</v>
      </c>
      <c r="I825" t="n">
        <v>0.2965048517643725</v>
      </c>
      <c r="J825" t="n">
        <v>0.0070572352609559</v>
      </c>
      <c r="K825" t="n">
        <v>0.6969646055137115</v>
      </c>
      <c r="L825" t="b">
        <v>0</v>
      </c>
      <c r="M825" t="b">
        <v>0</v>
      </c>
      <c r="N825" t="inlineStr">
        <is>
          <t>alt</t>
        </is>
      </c>
      <c r="O825" t="n">
        <v>-10</v>
      </c>
      <c r="P825" t="n">
        <v>0.003082</v>
      </c>
      <c r="Q825" t="n">
        <v>-10</v>
      </c>
      <c r="R825" t="n">
        <v>0.02075</v>
      </c>
      <c r="S825">
        <f>IMAGE("https://mitra.stanford.edu/kundaje/oak/projects/neuro-variants/variant_position/credible/roussos_2024/variant_figures/roussos_2024.adolescence.Astrocyte/rs6538188_count_position.png",4,220,900)</f>
        <v/>
      </c>
      <c r="T825">
        <f>IMAGE("https://mitra.stanford.edu/kundaje/oak/projects/neuro-variants/variant_position/credible/roussos_2024/variant_figures/roussos_2024.adolescence.Astrocyte/rs6538188_profile_position.png",4,220,900)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0.0619799943999999</v>
      </c>
      <c r="G826" t="n">
        <v>0.1758300285931264</v>
      </c>
      <c r="H826" t="n">
        <v>0.0171221613149195</v>
      </c>
      <c r="I826" t="n">
        <v>0.2262316433663926</v>
      </c>
      <c r="J826" t="n">
        <v>0.0145587929857875</v>
      </c>
      <c r="K826" t="n">
        <v>0.6287821380870311</v>
      </c>
      <c r="L826" t="b">
        <v>0</v>
      </c>
      <c r="M826" t="b">
        <v>0</v>
      </c>
      <c r="N826" t="inlineStr">
        <is>
          <t>alt</t>
        </is>
      </c>
      <c r="O826" t="n">
        <v>5</v>
      </c>
      <c r="P826" t="n">
        <v>0.001556</v>
      </c>
      <c r="Q826" t="n">
        <v>95</v>
      </c>
      <c r="R826" t="n">
        <v>0.1951</v>
      </c>
      <c r="S826">
        <f>IMAGE("https://mitra.stanford.edu/kundaje/oak/projects/neuro-variants/variant_position/credible/roussos_2024/variant_figures/roussos_2024.adolescence.Astrocyte/rs9634199_count_position.png",4,220,900)</f>
        <v/>
      </c>
      <c r="T826">
        <f>IMAGE("https://mitra.stanford.edu/kundaje/oak/projects/neuro-variants/variant_position/credible/roussos_2024/variant_figures/roussos_2024.adolescence.Astrocyte/rs9634199_profile_position.png",4,220,900)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0.290966992</v>
      </c>
      <c r="G827" t="n">
        <v>0.006983737753873</v>
      </c>
      <c r="H827" t="n">
        <v>0.0402259654867626</v>
      </c>
      <c r="I827" t="n">
        <v>0.0125690572021922</v>
      </c>
      <c r="J827" t="n">
        <v>0.7544291309378988</v>
      </c>
      <c r="K827" t="n">
        <v>0.0116811712827769</v>
      </c>
      <c r="L827" t="b">
        <v>1</v>
      </c>
      <c r="M827" t="b">
        <v>1</v>
      </c>
      <c r="N827" t="inlineStr">
        <is>
          <t>alt</t>
        </is>
      </c>
      <c r="O827" t="n">
        <v>100</v>
      </c>
      <c r="P827" t="n">
        <v>0.02231</v>
      </c>
      <c r="Q827" t="n">
        <v>-45</v>
      </c>
      <c r="R827" t="n">
        <v>0.1528</v>
      </c>
      <c r="S827">
        <f>IMAGE("https://mitra.stanford.edu/kundaje/oak/projects/neuro-variants/variant_position/credible/roussos_2024/variant_figures/roussos_2024.adolescence.Astrocyte/rs10858884_count_position.png",4,220,900)</f>
        <v/>
      </c>
      <c r="T827">
        <f>IMAGE("https://mitra.stanford.edu/kundaje/oak/projects/neuro-variants/variant_position/credible/roussos_2024/variant_figures/roussos_2024.adolescence.Astrocyte/rs10858884_profile_position.png",4,220,900)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0.138812192</v>
      </c>
      <c r="G828" t="n">
        <v>0.0395244645615623</v>
      </c>
      <c r="H828" t="n">
        <v>0.017635090629363</v>
      </c>
      <c r="I828" t="n">
        <v>0.2019089716732774</v>
      </c>
      <c r="J828" t="n">
        <v>0.1099115805714624</v>
      </c>
      <c r="K828" t="n">
        <v>0.3109561669695932</v>
      </c>
      <c r="L828" t="b">
        <v>0</v>
      </c>
      <c r="M828" t="b">
        <v>0</v>
      </c>
      <c r="N828" t="inlineStr">
        <is>
          <t>alt</t>
        </is>
      </c>
      <c r="O828" t="n">
        <v>-55</v>
      </c>
      <c r="P828" t="n">
        <v>0.02782</v>
      </c>
      <c r="Q828" t="n">
        <v>75</v>
      </c>
      <c r="R828" t="n">
        <v>0.0263</v>
      </c>
      <c r="S828">
        <f>IMAGE("https://mitra.stanford.edu/kundaje/oak/projects/neuro-variants/variant_position/credible/roussos_2024/variant_figures/roussos_2024.adolescence.Astrocyte/rs10777173_count_position.png",4,220,900)</f>
        <v/>
      </c>
      <c r="T828">
        <f>IMAGE("https://mitra.stanford.edu/kundaje/oak/projects/neuro-variants/variant_position/credible/roussos_2024/variant_figures/roussos_2024.adolescence.Astrocyte/rs10777173_profile_position.png",4,220,900)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-0.00215872357</v>
      </c>
      <c r="G829" t="n">
        <v>0.2151561859459368</v>
      </c>
      <c r="H829" t="n">
        <v>0.0256592922309522</v>
      </c>
      <c r="I829" t="n">
        <v>0.0625027703046713</v>
      </c>
      <c r="J829" t="n">
        <v>0.0716575675755866</v>
      </c>
      <c r="K829" t="n">
        <v>0.3848343681195145</v>
      </c>
      <c r="L829" t="b">
        <v>0</v>
      </c>
      <c r="M829" t="b">
        <v>0</v>
      </c>
      <c r="N829" t="inlineStr">
        <is>
          <t>ref</t>
        </is>
      </c>
      <c r="O829" t="n">
        <v>-80</v>
      </c>
      <c r="P829" t="n">
        <v>0.012405</v>
      </c>
      <c r="Q829" t="n">
        <v>-100</v>
      </c>
      <c r="R829" t="n">
        <v>0.08434999999999999</v>
      </c>
      <c r="S829">
        <f>IMAGE("https://mitra.stanford.edu/kundaje/oak/projects/neuro-variants/variant_position/credible/roussos_2024/variant_figures/roussos_2024.adolescence.Astrocyte/rs11105326_count_position.png",4,220,900)</f>
        <v/>
      </c>
      <c r="T829">
        <f>IMAGE("https://mitra.stanford.edu/kundaje/oak/projects/neuro-variants/variant_position/credible/roussos_2024/variant_figures/roussos_2024.adolescence.Astrocyte/rs11105326_profile_position.png",4,220,900)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0.0457914617999999</v>
      </c>
      <c r="G830" t="n">
        <v>0.2563378262000416</v>
      </c>
      <c r="H830" t="n">
        <v>0.0129641359849572</v>
      </c>
      <c r="I830" t="n">
        <v>0.4698924367238663</v>
      </c>
      <c r="J830" t="n">
        <v>0.0024515621754739</v>
      </c>
      <c r="K830" t="n">
        <v>0.810278854803098</v>
      </c>
      <c r="L830" t="b">
        <v>0</v>
      </c>
      <c r="M830" t="b">
        <v>0</v>
      </c>
      <c r="N830" t="inlineStr">
        <is>
          <t>alt</t>
        </is>
      </c>
      <c r="O830" t="n">
        <v>-25</v>
      </c>
      <c r="P830" t="n">
        <v>0.000717</v>
      </c>
      <c r="Q830" t="n">
        <v>-35</v>
      </c>
      <c r="R830" t="n">
        <v>0.02536</v>
      </c>
      <c r="S830">
        <f>IMAGE("https://mitra.stanford.edu/kundaje/oak/projects/neuro-variants/variant_position/credible/roussos_2024/variant_figures/roussos_2024.adolescence.Astrocyte/rs77966649_count_position.png",4,220,900)</f>
        <v/>
      </c>
      <c r="T830">
        <f>IMAGE("https://mitra.stanford.edu/kundaje/oak/projects/neuro-variants/variant_position/credible/roussos_2024/variant_figures/roussos_2024.adolescence.Astrocyte/rs77966649_profile_position.png",4,220,900)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-0.1057931432</v>
      </c>
      <c r="G831" t="n">
        <v>0.0894920761347501</v>
      </c>
      <c r="H831" t="n">
        <v>0.0237992180496935</v>
      </c>
      <c r="I831" t="n">
        <v>0.0781495884355886</v>
      </c>
      <c r="J831" t="n">
        <v>0.0408546716909473</v>
      </c>
      <c r="K831" t="n">
        <v>0.4735555563556325</v>
      </c>
      <c r="L831" t="b">
        <v>0</v>
      </c>
      <c r="M831" t="b">
        <v>0</v>
      </c>
      <c r="N831" t="inlineStr">
        <is>
          <t>ref</t>
        </is>
      </c>
      <c r="O831" t="n">
        <v>70</v>
      </c>
      <c r="P831" t="n">
        <v>0.006348</v>
      </c>
      <c r="Q831" t="n">
        <v>-95</v>
      </c>
      <c r="R831" t="n">
        <v>0.2181</v>
      </c>
      <c r="S831">
        <f>IMAGE("https://mitra.stanford.edu/kundaje/oak/projects/neuro-variants/variant_position/credible/roussos_2024/variant_figures/roussos_2024.adolescence.Astrocyte/rs4240748_count_position.png",4,220,900)</f>
        <v/>
      </c>
      <c r="T831">
        <f>IMAGE("https://mitra.stanford.edu/kundaje/oak/projects/neuro-variants/variant_position/credible/roussos_2024/variant_figures/roussos_2024.adolescence.Astrocyte/rs4240748_profile_position.png",4,220,900)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-0.00491902378</v>
      </c>
      <c r="G832" t="n">
        <v>0.8698573436382713</v>
      </c>
      <c r="H832" t="n">
        <v>0.0310911319794555</v>
      </c>
      <c r="I832" t="n">
        <v>0.0271650668876945</v>
      </c>
      <c r="J832" t="n">
        <v>0.0791561582055009</v>
      </c>
      <c r="K832" t="n">
        <v>0.360511469125294</v>
      </c>
      <c r="L832" t="b">
        <v>0</v>
      </c>
      <c r="M832" t="b">
        <v>0</v>
      </c>
      <c r="N832" t="inlineStr">
        <is>
          <t>ref</t>
        </is>
      </c>
      <c r="O832" t="n">
        <v>80</v>
      </c>
      <c r="P832" t="n">
        <v>0.01529</v>
      </c>
      <c r="Q832" t="n">
        <v>100</v>
      </c>
      <c r="R832" t="n">
        <v>0.3303</v>
      </c>
      <c r="S832">
        <f>IMAGE("https://mitra.stanford.edu/kundaje/oak/projects/neuro-variants/variant_position/credible/roussos_2024/variant_figures/roussos_2024.adolescence.Astrocyte/rs63482062_count_position.png",4,220,900)</f>
        <v/>
      </c>
      <c r="T832">
        <f>IMAGE("https://mitra.stanford.edu/kundaje/oak/projects/neuro-variants/variant_position/credible/roussos_2024/variant_figures/roussos_2024.adolescence.Astrocyte/rs63482062_profile_position.png",4,220,900)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0.1257165708</v>
      </c>
      <c r="G833" t="n">
        <v>0.0744334790603927</v>
      </c>
      <c r="H833" t="n">
        <v>0.0232134068257748</v>
      </c>
      <c r="I833" t="n">
        <v>0.0973754413193095</v>
      </c>
      <c r="J833" t="n">
        <v>0.0773929620508559</v>
      </c>
      <c r="K833" t="n">
        <v>0.3726479947091683</v>
      </c>
      <c r="L833" t="b">
        <v>0</v>
      </c>
      <c r="M833" t="b">
        <v>0</v>
      </c>
      <c r="N833" t="inlineStr">
        <is>
          <t>alt</t>
        </is>
      </c>
      <c r="O833" t="n">
        <v>-55</v>
      </c>
      <c r="P833" t="n">
        <v>0.02704</v>
      </c>
      <c r="Q833" t="n">
        <v>-60</v>
      </c>
      <c r="R833" t="n">
        <v>0.1277</v>
      </c>
      <c r="S833">
        <f>IMAGE("https://mitra.stanford.edu/kundaje/oak/projects/neuro-variants/variant_position/credible/roussos_2024/variant_figures/roussos_2024.adolescence.Astrocyte/rs10777617_count_position.png",4,220,900)</f>
        <v/>
      </c>
      <c r="T833">
        <f>IMAGE("https://mitra.stanford.edu/kundaje/oak/projects/neuro-variants/variant_position/credible/roussos_2024/variant_figures/roussos_2024.adolescence.Astrocyte/rs10777617_profile_position.png",4,220,900)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-0.1141878607999999</v>
      </c>
      <c r="G834" t="n">
        <v>0.07158581554707211</v>
      </c>
      <c r="H834" t="n">
        <v>0.0151257010489783</v>
      </c>
      <c r="I834" t="n">
        <v>0.3171635433409258</v>
      </c>
      <c r="J834" t="n">
        <v>0.0006208646114588</v>
      </c>
      <c r="K834" t="n">
        <v>0.9008931994821724</v>
      </c>
      <c r="L834" t="b">
        <v>0</v>
      </c>
      <c r="M834" t="b">
        <v>0</v>
      </c>
      <c r="N834" t="inlineStr">
        <is>
          <t>ref</t>
        </is>
      </c>
      <c r="O834" t="n">
        <v>-100</v>
      </c>
      <c r="P834" t="n">
        <v>0.00401</v>
      </c>
      <c r="Q834" t="n">
        <v>10</v>
      </c>
      <c r="R834" t="n">
        <v>0.01685</v>
      </c>
      <c r="S834">
        <f>IMAGE("https://mitra.stanford.edu/kundaje/oak/projects/neuro-variants/variant_position/credible/roussos_2024/variant_figures/roussos_2024.adolescence.Astrocyte/rs7311279_count_position.png",4,220,900)</f>
        <v/>
      </c>
      <c r="T834">
        <f>IMAGE("https://mitra.stanford.edu/kundaje/oak/projects/neuro-variants/variant_position/credible/roussos_2024/variant_figures/roussos_2024.adolescence.Astrocyte/rs7311279_profile_position.png",4,220,900)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0.0466363894</v>
      </c>
      <c r="G835" t="n">
        <v>0.2575010385668275</v>
      </c>
      <c r="H835" t="n">
        <v>0.0134432875465983</v>
      </c>
      <c r="I835" t="n">
        <v>0.4326282848138694</v>
      </c>
      <c r="J835" t="n">
        <v>0.0005607809393822</v>
      </c>
      <c r="K835" t="n">
        <v>0.9066674629933008</v>
      </c>
      <c r="L835" t="b">
        <v>0</v>
      </c>
      <c r="M835" t="b">
        <v>0</v>
      </c>
      <c r="N835" t="inlineStr">
        <is>
          <t>alt</t>
        </is>
      </c>
      <c r="O835" t="n">
        <v>-100</v>
      </c>
      <c r="P835" t="n">
        <v>0.01268</v>
      </c>
      <c r="Q835" t="n">
        <v>-65</v>
      </c>
      <c r="R835" t="n">
        <v>0.1187</v>
      </c>
      <c r="S835">
        <f>IMAGE("https://mitra.stanford.edu/kundaje/oak/projects/neuro-variants/variant_position/credible/roussos_2024/variant_figures/roussos_2024.adolescence.Astrocyte/rs7311211_count_position.png",4,220,900)</f>
        <v/>
      </c>
      <c r="T835">
        <f>IMAGE("https://mitra.stanford.edu/kundaje/oak/projects/neuro-variants/variant_position/credible/roussos_2024/variant_figures/roussos_2024.adolescence.Astrocyte/rs7311211_profile_position.png",4,220,900)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0.201526408</v>
      </c>
      <c r="G836" t="n">
        <v>0.0174935202224319</v>
      </c>
      <c r="H836" t="n">
        <v>0.028054386577371</v>
      </c>
      <c r="I836" t="n">
        <v>0.0409498758564891</v>
      </c>
      <c r="J836" t="n">
        <v>0.0563992819630299</v>
      </c>
      <c r="K836" t="n">
        <v>0.4311950165866204</v>
      </c>
      <c r="L836" t="b">
        <v>1</v>
      </c>
      <c r="M836" t="b">
        <v>0</v>
      </c>
      <c r="N836" t="inlineStr">
        <is>
          <t>alt</t>
        </is>
      </c>
      <c r="O836" t="n">
        <v>80</v>
      </c>
      <c r="P836" t="n">
        <v>0.009735000000000001</v>
      </c>
      <c r="Q836" t="n">
        <v>-85</v>
      </c>
      <c r="R836" t="n">
        <v>0.08887</v>
      </c>
      <c r="S836">
        <f>IMAGE("https://mitra.stanford.edu/kundaje/oak/projects/neuro-variants/variant_position/credible/roussos_2024/variant_figures/roussos_2024.adolescence.Astrocyte/rs11835590_count_position.png",4,220,900)</f>
        <v/>
      </c>
      <c r="T836">
        <f>IMAGE("https://mitra.stanford.edu/kundaje/oak/projects/neuro-variants/variant_position/credible/roussos_2024/variant_figures/roussos_2024.adolescence.Astrocyte/rs11835590_profile_position.png",4,220,900)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-0.0388799242</v>
      </c>
      <c r="G837" t="n">
        <v>0.3345019889868587</v>
      </c>
      <c r="H837" t="n">
        <v>0.0233753768145344</v>
      </c>
      <c r="I837" t="n">
        <v>0.0804201368954669</v>
      </c>
      <c r="J837" t="n">
        <v>0.09084502863246589</v>
      </c>
      <c r="K837" t="n">
        <v>0.3407516073251025</v>
      </c>
      <c r="L837" t="b">
        <v>0</v>
      </c>
      <c r="M837" t="b">
        <v>0</v>
      </c>
      <c r="N837" t="inlineStr">
        <is>
          <t>ref</t>
        </is>
      </c>
      <c r="O837" t="n">
        <v>-95</v>
      </c>
      <c r="P837" t="n">
        <v>0.01534</v>
      </c>
      <c r="Q837" t="n">
        <v>-40</v>
      </c>
      <c r="R837" t="n">
        <v>0.1127</v>
      </c>
      <c r="S837">
        <f>IMAGE("https://mitra.stanford.edu/kundaje/oak/projects/neuro-variants/variant_position/credible/roussos_2024/variant_figures/roussos_2024.adolescence.Astrocyte/rs1319893_count_position.png",4,220,900)</f>
        <v/>
      </c>
      <c r="T837">
        <f>IMAGE("https://mitra.stanford.edu/kundaje/oak/projects/neuro-variants/variant_position/credible/roussos_2024/variant_figures/roussos_2024.adolescence.Astrocyte/rs1319893_profile_position.png",4,220,900)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-0.0656355416</v>
      </c>
      <c r="G838" t="n">
        <v>0.1751512097751723</v>
      </c>
      <c r="H838" t="n">
        <v>0.0118117902434766</v>
      </c>
      <c r="I838" t="n">
        <v>0.5671982769375243</v>
      </c>
      <c r="J838" t="n">
        <v>0.0470336468563629</v>
      </c>
      <c r="K838" t="n">
        <v>0.452893187625166</v>
      </c>
      <c r="L838" t="b">
        <v>0</v>
      </c>
      <c r="M838" t="b">
        <v>0</v>
      </c>
      <c r="N838" t="inlineStr">
        <is>
          <t>ref</t>
        </is>
      </c>
      <c r="O838" t="n">
        <v>100</v>
      </c>
      <c r="P838" t="n">
        <v>0.0058</v>
      </c>
      <c r="Q838" t="n">
        <v>100</v>
      </c>
      <c r="R838" t="n">
        <v>0.11334</v>
      </c>
      <c r="S838">
        <f>IMAGE("https://mitra.stanford.edu/kundaje/oak/projects/neuro-variants/variant_position/credible/roussos_2024/variant_figures/roussos_2024.adolescence.Astrocyte/rs7311721_count_position.png",4,220,900)</f>
        <v/>
      </c>
      <c r="T838">
        <f>IMAGE("https://mitra.stanford.edu/kundaje/oak/projects/neuro-variants/variant_position/credible/roussos_2024/variant_figures/roussos_2024.adolescence.Astrocyte/rs7311721_profile_position.png",4,220,900)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0.01398128898</v>
      </c>
      <c r="G839" t="n">
        <v>0.6518121793172256</v>
      </c>
      <c r="H839" t="n">
        <v>0.0094826489156673</v>
      </c>
      <c r="I839" t="n">
        <v>0.8159353431917956</v>
      </c>
      <c r="J839" t="n">
        <v>0.0037489244280923</v>
      </c>
      <c r="K839" t="n">
        <v>0.7660712153911614</v>
      </c>
      <c r="L839" t="b">
        <v>0</v>
      </c>
      <c r="M839" t="b">
        <v>0</v>
      </c>
      <c r="N839" t="inlineStr">
        <is>
          <t>alt</t>
        </is>
      </c>
      <c r="O839" t="n">
        <v>-95</v>
      </c>
      <c r="P839" t="n">
        <v>0.0162</v>
      </c>
      <c r="Q839" t="n">
        <v>-10</v>
      </c>
      <c r="R839" t="n">
        <v>0.02014</v>
      </c>
      <c r="S839">
        <f>IMAGE("https://mitra.stanford.edu/kundaje/oak/projects/neuro-variants/variant_position/credible/roussos_2024/variant_figures/roussos_2024.adolescence.Astrocyte/rs7955942_count_position.png",4,220,900)</f>
        <v/>
      </c>
      <c r="T839">
        <f>IMAGE("https://mitra.stanford.edu/kundaje/oak/projects/neuro-variants/variant_position/credible/roussos_2024/variant_figures/roussos_2024.adolescence.Astrocyte/rs7955942_profile_position.png",4,220,900)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-0.0055924476</v>
      </c>
      <c r="G840" t="n">
        <v>0.3306407776816141</v>
      </c>
      <c r="H840" t="n">
        <v>0.0142014046016064</v>
      </c>
      <c r="I840" t="n">
        <v>0.3759670446607695</v>
      </c>
      <c r="J840" t="n">
        <v>0.0485987894252736</v>
      </c>
      <c r="K840" t="n">
        <v>0.4426952849396484</v>
      </c>
      <c r="L840" t="b">
        <v>0</v>
      </c>
      <c r="M840" t="b">
        <v>0</v>
      </c>
      <c r="N840" t="inlineStr">
        <is>
          <t>ref</t>
        </is>
      </c>
      <c r="O840" t="n">
        <v>90</v>
      </c>
      <c r="P840" t="n">
        <v>0.03687</v>
      </c>
      <c r="Q840" t="n">
        <v>15</v>
      </c>
      <c r="R840" t="n">
        <v>0.0232</v>
      </c>
      <c r="S840">
        <f>IMAGE("https://mitra.stanford.edu/kundaje/oak/projects/neuro-variants/variant_position/credible/roussos_2024/variant_figures/roussos_2024.adolescence.Astrocyte/rs1814453_count_position.png",4,220,900)</f>
        <v/>
      </c>
      <c r="T840">
        <f>IMAGE("https://mitra.stanford.edu/kundaje/oak/projects/neuro-variants/variant_position/credible/roussos_2024/variant_figures/roussos_2024.adolescence.Astrocyte/rs1814453_profile_position.png",4,220,900)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0.0159879094</v>
      </c>
      <c r="G841" t="n">
        <v>0.4854327808440395</v>
      </c>
      <c r="H841" t="n">
        <v>0.022221402090811</v>
      </c>
      <c r="I841" t="n">
        <v>0.0952784264497171</v>
      </c>
      <c r="J841" t="n">
        <v>0.0297421594516808</v>
      </c>
      <c r="K841" t="n">
        <v>0.5208868807178542</v>
      </c>
      <c r="L841" t="b">
        <v>0</v>
      </c>
      <c r="M841" t="b">
        <v>0</v>
      </c>
      <c r="N841" t="inlineStr">
        <is>
          <t>alt</t>
        </is>
      </c>
      <c r="O841" t="n">
        <v>95</v>
      </c>
      <c r="P841" t="n">
        <v>0.00428</v>
      </c>
      <c r="Q841" t="n">
        <v>-45</v>
      </c>
      <c r="R841" t="n">
        <v>0.1176</v>
      </c>
      <c r="S841">
        <f>IMAGE("https://mitra.stanford.edu/kundaje/oak/projects/neuro-variants/variant_position/credible/roussos_2024/variant_figures/roussos_2024.adolescence.Astrocyte/rs3794799_count_position.png",4,220,900)</f>
        <v/>
      </c>
      <c r="T841">
        <f>IMAGE("https://mitra.stanford.edu/kundaje/oak/projects/neuro-variants/variant_position/credible/roussos_2024/variant_figures/roussos_2024.adolescence.Astrocyte/rs3794799_profile_position.png",4,220,900)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0.0121688643999999</v>
      </c>
      <c r="G842" t="n">
        <v>0.6926922378150333</v>
      </c>
      <c r="H842" t="n">
        <v>0.0242501074125635</v>
      </c>
      <c r="I842" t="n">
        <v>0.07136233033089701</v>
      </c>
      <c r="J842" t="n">
        <v>0.0006542444292792</v>
      </c>
      <c r="K842" t="n">
        <v>0.9023602708130658</v>
      </c>
      <c r="L842" t="b">
        <v>0</v>
      </c>
      <c r="M842" t="b">
        <v>0</v>
      </c>
      <c r="N842" t="inlineStr">
        <is>
          <t>alt</t>
        </is>
      </c>
      <c r="O842" t="n">
        <v>-50</v>
      </c>
      <c r="P842" t="n">
        <v>0.0007095</v>
      </c>
      <c r="Q842" t="n">
        <v>85</v>
      </c>
      <c r="R842" t="n">
        <v>0.10333</v>
      </c>
      <c r="S842">
        <f>IMAGE("https://mitra.stanford.edu/kundaje/oak/projects/neuro-variants/variant_position/credible/roussos_2024/variant_figures/roussos_2024.adolescence.Astrocyte/rs6419378_count_position.png",4,220,900)</f>
        <v/>
      </c>
      <c r="T842">
        <f>IMAGE("https://mitra.stanford.edu/kundaje/oak/projects/neuro-variants/variant_position/credible/roussos_2024/variant_figures/roussos_2024.adolescence.Astrocyte/rs6419378_profile_position.png",4,220,900)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0.01653135946</v>
      </c>
      <c r="G843" t="n">
        <v>0.6127843800178868</v>
      </c>
      <c r="H843" t="n">
        <v>0.0185215974879809</v>
      </c>
      <c r="I843" t="n">
        <v>0.177080500852643</v>
      </c>
      <c r="J843" t="n">
        <v>0.0212369818710499</v>
      </c>
      <c r="K843" t="n">
        <v>0.5735205835694532</v>
      </c>
      <c r="L843" t="b">
        <v>0</v>
      </c>
      <c r="M843" t="b">
        <v>0</v>
      </c>
      <c r="N843" t="inlineStr">
        <is>
          <t>alt</t>
        </is>
      </c>
      <c r="O843" t="n">
        <v>15</v>
      </c>
      <c r="P843" t="n">
        <v>0.0005646</v>
      </c>
      <c r="Q843" t="n">
        <v>-80</v>
      </c>
      <c r="R843" t="n">
        <v>0.0703</v>
      </c>
      <c r="S843">
        <f>IMAGE("https://mitra.stanford.edu/kundaje/oak/projects/neuro-variants/variant_position/credible/roussos_2024/variant_figures/roussos_2024.adolescence.Astrocyte/rs2372634_count_position.png",4,220,900)</f>
        <v/>
      </c>
      <c r="T843">
        <f>IMAGE("https://mitra.stanford.edu/kundaje/oak/projects/neuro-variants/variant_position/credible/roussos_2024/variant_figures/roussos_2024.adolescence.Astrocyte/rs2372634_profile_position.png",4,220,900)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-0.0155078555799999</v>
      </c>
      <c r="G844" t="n">
        <v>0.5754990786784681</v>
      </c>
      <c r="H844" t="n">
        <v>0.0159764174193586</v>
      </c>
      <c r="I844" t="n">
        <v>0.2697538776963783</v>
      </c>
      <c r="J844" t="n">
        <v>0.07996914221285931</v>
      </c>
      <c r="K844" t="n">
        <v>0.3749420294253565</v>
      </c>
      <c r="L844" t="b">
        <v>0</v>
      </c>
      <c r="M844" t="b">
        <v>0</v>
      </c>
      <c r="N844" t="inlineStr">
        <is>
          <t>ref</t>
        </is>
      </c>
      <c r="O844" t="n">
        <v>-60</v>
      </c>
      <c r="P844" t="n">
        <v>0.003223</v>
      </c>
      <c r="Q844" t="n">
        <v>80</v>
      </c>
      <c r="R844" t="n">
        <v>0.1125</v>
      </c>
      <c r="S844">
        <f>IMAGE("https://mitra.stanford.edu/kundaje/oak/projects/neuro-variants/variant_position/credible/roussos_2024/variant_figures/roussos_2024.adolescence.Astrocyte/rs7975384_count_position.png",4,220,900)</f>
        <v/>
      </c>
      <c r="T844">
        <f>IMAGE("https://mitra.stanford.edu/kundaje/oak/projects/neuro-variants/variant_position/credible/roussos_2024/variant_figures/roussos_2024.adolescence.Astrocyte/rs7975384_profile_position.png",4,220,900)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0.1010974093999999</v>
      </c>
      <c r="G845" t="n">
        <v>0.0765705819831719</v>
      </c>
      <c r="H845" t="n">
        <v>0.0165598699231089</v>
      </c>
      <c r="I845" t="n">
        <v>0.2459603772787582</v>
      </c>
      <c r="J845" t="n">
        <v>0.0031020977361065</v>
      </c>
      <c r="K845" t="n">
        <v>0.7835331675149158</v>
      </c>
      <c r="L845" t="b">
        <v>0</v>
      </c>
      <c r="M845" t="b">
        <v>0</v>
      </c>
      <c r="N845" t="inlineStr">
        <is>
          <t>alt</t>
        </is>
      </c>
      <c r="O845" t="n">
        <v>-30</v>
      </c>
      <c r="P845" t="n">
        <v>0.004593</v>
      </c>
      <c r="Q845" t="n">
        <v>95</v>
      </c>
      <c r="R845" t="n">
        <v>0.2593</v>
      </c>
      <c r="S845">
        <f>IMAGE("https://mitra.stanford.edu/kundaje/oak/projects/neuro-variants/variant_position/credible/roussos_2024/variant_figures/roussos_2024.adolescence.Astrocyte/rs2372636_count_position.png",4,220,900)</f>
        <v/>
      </c>
      <c r="T845">
        <f>IMAGE("https://mitra.stanford.edu/kundaje/oak/projects/neuro-variants/variant_position/credible/roussos_2024/variant_figures/roussos_2024.adolescence.Astrocyte/rs2372636_profile_position.png",4,220,900)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-0.0172232032</v>
      </c>
      <c r="G846" t="n">
        <v>0.5917301726479108</v>
      </c>
      <c r="H846" t="n">
        <v>0.0265320442134308</v>
      </c>
      <c r="I846" t="n">
        <v>0.0506874808577668</v>
      </c>
      <c r="J846" t="n">
        <v>0.038828145862386</v>
      </c>
      <c r="K846" t="n">
        <v>0.4714279100476101</v>
      </c>
      <c r="L846" t="b">
        <v>0</v>
      </c>
      <c r="M846" t="b">
        <v>0</v>
      </c>
      <c r="N846" t="inlineStr">
        <is>
          <t>ref</t>
        </is>
      </c>
      <c r="O846" t="n">
        <v>100</v>
      </c>
      <c r="P846" t="n">
        <v>0.008059999999999999</v>
      </c>
      <c r="Q846" t="n">
        <v>-95</v>
      </c>
      <c r="R846" t="n">
        <v>0.112</v>
      </c>
      <c r="S846">
        <f>IMAGE("https://mitra.stanford.edu/kundaje/oak/projects/neuro-variants/variant_position/credible/roussos_2024/variant_figures/roussos_2024.adolescence.Astrocyte/rs2372638_count_position.png",4,220,900)</f>
        <v/>
      </c>
      <c r="T846">
        <f>IMAGE("https://mitra.stanford.edu/kundaje/oak/projects/neuro-variants/variant_position/credible/roussos_2024/variant_figures/roussos_2024.adolescence.Astrocyte/rs2372638_profile_position.png",4,220,900)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-0.0046903195399999</v>
      </c>
      <c r="G847" t="n">
        <v>0.6782141135812363</v>
      </c>
      <c r="H847" t="n">
        <v>0.0325949720302641</v>
      </c>
      <c r="I847" t="n">
        <v>0.0221796536656333</v>
      </c>
      <c r="J847" t="n">
        <v>0.285084413850399</v>
      </c>
      <c r="K847" t="n">
        <v>0.1421706077406763</v>
      </c>
      <c r="L847" t="b">
        <v>0</v>
      </c>
      <c r="M847" t="b">
        <v>0</v>
      </c>
      <c r="N847" t="inlineStr">
        <is>
          <t>ref</t>
        </is>
      </c>
      <c r="O847" t="n">
        <v>100</v>
      </c>
      <c r="P847" t="n">
        <v>0.006844</v>
      </c>
      <c r="Q847" t="n">
        <v>55</v>
      </c>
      <c r="R847" t="n">
        <v>0.0317</v>
      </c>
      <c r="S847">
        <f>IMAGE("https://mitra.stanford.edu/kundaje/oak/projects/neuro-variants/variant_position/credible/roussos_2024/variant_figures/roussos_2024.adolescence.Astrocyte/rs7137868_count_position.png",4,220,900)</f>
        <v/>
      </c>
      <c r="T847">
        <f>IMAGE("https://mitra.stanford.edu/kundaje/oak/projects/neuro-variants/variant_position/credible/roussos_2024/variant_figures/roussos_2024.adolescence.Astrocyte/rs7137868_profile_position.png",4,220,900)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-0.00271537756</v>
      </c>
      <c r="G848" t="n">
        <v>0.8075266416435822</v>
      </c>
      <c r="H848" t="n">
        <v>0.0273771463267958</v>
      </c>
      <c r="I848" t="n">
        <v>0.044920688382125</v>
      </c>
      <c r="J848" t="n">
        <v>0.123358454736967</v>
      </c>
      <c r="K848" t="n">
        <v>0.294194274469727</v>
      </c>
      <c r="L848" t="b">
        <v>0</v>
      </c>
      <c r="M848" t="b">
        <v>0</v>
      </c>
      <c r="N848" t="inlineStr">
        <is>
          <t>ref</t>
        </is>
      </c>
      <c r="O848" t="n">
        <v>55</v>
      </c>
      <c r="P848" t="n">
        <v>0.00813</v>
      </c>
      <c r="Q848" t="n">
        <v>100</v>
      </c>
      <c r="R848" t="n">
        <v>0.124</v>
      </c>
      <c r="S848">
        <f>IMAGE("https://mitra.stanford.edu/kundaje/oak/projects/neuro-variants/variant_position/credible/roussos_2024/variant_figures/roussos_2024.adolescence.Astrocyte/rs6538897_count_position.png",4,220,900)</f>
        <v/>
      </c>
      <c r="T848">
        <f>IMAGE("https://mitra.stanford.edu/kundaje/oak/projects/neuro-variants/variant_position/credible/roussos_2024/variant_figures/roussos_2024.adolescence.Astrocyte/rs6538897_profile_position.png",4,220,900)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0.0024070452</v>
      </c>
      <c r="G849" t="n">
        <v>0.6011369316441445</v>
      </c>
      <c r="H849" t="n">
        <v>0.0104738458257712</v>
      </c>
      <c r="I849" t="n">
        <v>0.6854854109305819</v>
      </c>
      <c r="J849" t="n">
        <v>0.2224512654659822</v>
      </c>
      <c r="K849" t="n">
        <v>0.1867981025693615</v>
      </c>
      <c r="L849" t="b">
        <v>0</v>
      </c>
      <c r="M849" t="b">
        <v>0</v>
      </c>
      <c r="N849" t="inlineStr">
        <is>
          <t>alt</t>
        </is>
      </c>
      <c r="O849" t="n">
        <v>100</v>
      </c>
      <c r="P849" t="n">
        <v>0.1155</v>
      </c>
      <c r="Q849" t="n">
        <v>100</v>
      </c>
      <c r="R849" t="n">
        <v>0.4038</v>
      </c>
      <c r="S849">
        <f>IMAGE("https://mitra.stanford.edu/kundaje/oak/projects/neuro-variants/variant_position/credible/roussos_2024/variant_figures/roussos_2024.adolescence.Astrocyte/rs7299393_count_position.png",4,220,900)</f>
        <v/>
      </c>
      <c r="T849">
        <f>IMAGE("https://mitra.stanford.edu/kundaje/oak/projects/neuro-variants/variant_position/credible/roussos_2024/variant_figures/roussos_2024.adolescence.Astrocyte/rs7299393_profile_position.png",4,220,900)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-0.1066028626</v>
      </c>
      <c r="G850" t="n">
        <v>0.0929501163498888</v>
      </c>
      <c r="H850" t="n">
        <v>0.0161978318052799</v>
      </c>
      <c r="I850" t="n">
        <v>0.2716216387943522</v>
      </c>
      <c r="J850" t="n">
        <v>0.0848544639943031</v>
      </c>
      <c r="K850" t="n">
        <v>0.3551820707870889</v>
      </c>
      <c r="L850" t="b">
        <v>0</v>
      </c>
      <c r="M850" t="b">
        <v>0</v>
      </c>
      <c r="N850" t="inlineStr">
        <is>
          <t>ref</t>
        </is>
      </c>
      <c r="O850" t="n">
        <v>-50</v>
      </c>
      <c r="P850" t="n">
        <v>0.05933</v>
      </c>
      <c r="Q850" t="n">
        <v>-75</v>
      </c>
      <c r="R850" t="n">
        <v>0.1278</v>
      </c>
      <c r="S850">
        <f>IMAGE("https://mitra.stanford.edu/kundaje/oak/projects/neuro-variants/variant_position/credible/roussos_2024/variant_figures/roussos_2024.adolescence.Astrocyte/rs10860390_count_position.png",4,220,900)</f>
        <v/>
      </c>
      <c r="T850">
        <f>IMAGE("https://mitra.stanford.edu/kundaje/oak/projects/neuro-variants/variant_position/credible/roussos_2024/variant_figures/roussos_2024.adolescence.Astrocyte/rs10860390_profile_position.png",4,220,900)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-0.2039213919999999</v>
      </c>
      <c r="G851" t="n">
        <v>0.0190311002189637</v>
      </c>
      <c r="H851" t="n">
        <v>0.0323581679645596</v>
      </c>
      <c r="I851" t="n">
        <v>0.0243240503160803</v>
      </c>
      <c r="J851" t="n">
        <v>0.0218741655045544</v>
      </c>
      <c r="K851" t="n">
        <v>0.5874300751056902</v>
      </c>
      <c r="L851" t="b">
        <v>1</v>
      </c>
      <c r="M851" t="b">
        <v>0</v>
      </c>
      <c r="N851" t="inlineStr">
        <is>
          <t>ref</t>
        </is>
      </c>
      <c r="O851" t="n">
        <v>-85</v>
      </c>
      <c r="P851" t="n">
        <v>0.01828</v>
      </c>
      <c r="Q851" t="n">
        <v>-100</v>
      </c>
      <c r="R851" t="n">
        <v>0.083</v>
      </c>
      <c r="S851">
        <f>IMAGE("https://mitra.stanford.edu/kundaje/oak/projects/neuro-variants/variant_position/credible/roussos_2024/variant_figures/roussos_2024.adolescence.Astrocyte/rs10745841_count_position.png",4,220,900)</f>
        <v/>
      </c>
      <c r="T851">
        <f>IMAGE("https://mitra.stanford.edu/kundaje/oak/projects/neuro-variants/variant_position/credible/roussos_2024/variant_figures/roussos_2024.adolescence.Astrocyte/rs10745841_profile_position.png",4,220,900)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0.1074730498</v>
      </c>
      <c r="G852" t="n">
        <v>0.0972250019161482</v>
      </c>
      <c r="H852" t="n">
        <v>0.021474316438581</v>
      </c>
      <c r="I852" t="n">
        <v>0.1203980366597708</v>
      </c>
      <c r="J852" t="n">
        <v>0.0813199121739904</v>
      </c>
      <c r="K852" t="n">
        <v>0.3632597109978366</v>
      </c>
      <c r="L852" t="b">
        <v>0</v>
      </c>
      <c r="M852" t="b">
        <v>0</v>
      </c>
      <c r="N852" t="inlineStr">
        <is>
          <t>alt</t>
        </is>
      </c>
      <c r="O852" t="n">
        <v>-20</v>
      </c>
      <c r="P852" t="n">
        <v>0.001007</v>
      </c>
      <c r="Q852" t="n">
        <v>-50</v>
      </c>
      <c r="R852" t="n">
        <v>0.133</v>
      </c>
      <c r="S852">
        <f>IMAGE("https://mitra.stanford.edu/kundaje/oak/projects/neuro-variants/variant_position/credible/roussos_2024/variant_figures/roussos_2024.adolescence.Astrocyte/rs80096598_count_position.png",4,220,900)</f>
        <v/>
      </c>
      <c r="T852">
        <f>IMAGE("https://mitra.stanford.edu/kundaje/oak/projects/neuro-variants/variant_position/credible/roussos_2024/variant_figures/roussos_2024.adolescence.Astrocyte/rs80096598_profile_position.png",4,220,900)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-0.019773841</v>
      </c>
      <c r="G853" t="n">
        <v>0.5048244937735051</v>
      </c>
      <c r="H853" t="n">
        <v>0.0147670675723662</v>
      </c>
      <c r="I853" t="n">
        <v>0.3387939315313871</v>
      </c>
      <c r="J853" t="n">
        <v>0.0182884312969171</v>
      </c>
      <c r="K853" t="n">
        <v>0.5840042480207627</v>
      </c>
      <c r="L853" t="b">
        <v>0</v>
      </c>
      <c r="M853" t="b">
        <v>0</v>
      </c>
      <c r="N853" t="inlineStr">
        <is>
          <t>ref</t>
        </is>
      </c>
      <c r="O853" t="n">
        <v>5</v>
      </c>
      <c r="P853" t="n">
        <v>0.0009155</v>
      </c>
      <c r="Q853" t="n">
        <v>-100</v>
      </c>
      <c r="R853" t="n">
        <v>0.10974</v>
      </c>
      <c r="S853">
        <f>IMAGE("https://mitra.stanford.edu/kundaje/oak/projects/neuro-variants/variant_position/credible/roussos_2024/variant_figures/roussos_2024.adolescence.Astrocyte/rs117856328_count_position.png",4,220,900)</f>
        <v/>
      </c>
      <c r="T853">
        <f>IMAGE("https://mitra.stanford.edu/kundaje/oak/projects/neuro-variants/variant_position/credible/roussos_2024/variant_figures/roussos_2024.adolescence.Astrocyte/rs117856328_profile_position.png",4,220,900)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0.0349033084</v>
      </c>
      <c r="G854" t="n">
        <v>0.3452710109577083</v>
      </c>
      <c r="H854" t="n">
        <v>0.007818867739917299</v>
      </c>
      <c r="I854" t="n">
        <v>0.9318928270729598</v>
      </c>
      <c r="J854" t="n">
        <v>0.1841260421920896</v>
      </c>
      <c r="K854" t="n">
        <v>0.2202073185590573</v>
      </c>
      <c r="L854" t="b">
        <v>0</v>
      </c>
      <c r="M854" t="b">
        <v>0</v>
      </c>
      <c r="N854" t="inlineStr">
        <is>
          <t>alt</t>
        </is>
      </c>
      <c r="O854" t="n">
        <v>-100</v>
      </c>
      <c r="P854" t="n">
        <v>0.04703</v>
      </c>
      <c r="Q854" t="n">
        <v>100</v>
      </c>
      <c r="R854" t="n">
        <v>0.1562</v>
      </c>
      <c r="S854">
        <f>IMAGE("https://mitra.stanford.edu/kundaje/oak/projects/neuro-variants/variant_position/credible/roussos_2024/variant_figures/roussos_2024.adolescence.Astrocyte/rs77165492_count_position.png",4,220,900)</f>
        <v/>
      </c>
      <c r="T854">
        <f>IMAGE("https://mitra.stanford.edu/kundaje/oak/projects/neuro-variants/variant_position/credible/roussos_2024/variant_figures/roussos_2024.adolescence.Astrocyte/rs77165492_profile_position.png",4,220,900)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-0.277317954</v>
      </c>
      <c r="G855" t="n">
        <v>0.008627472489695601</v>
      </c>
      <c r="H855" t="n">
        <v>0.0313678954182807</v>
      </c>
      <c r="I855" t="n">
        <v>0.0286037162911472</v>
      </c>
      <c r="J855" t="n">
        <v>0.347785063644186</v>
      </c>
      <c r="K855" t="n">
        <v>0.1089883267526498</v>
      </c>
      <c r="L855" t="b">
        <v>1</v>
      </c>
      <c r="M855" t="b">
        <v>1</v>
      </c>
      <c r="N855" t="inlineStr">
        <is>
          <t>ref</t>
        </is>
      </c>
      <c r="O855" t="n">
        <v>95</v>
      </c>
      <c r="P855" t="n">
        <v>0.007979999999999999</v>
      </c>
      <c r="Q855" t="n">
        <v>75</v>
      </c>
      <c r="R855" t="n">
        <v>0.2065</v>
      </c>
      <c r="S855">
        <f>IMAGE("https://mitra.stanford.edu/kundaje/oak/projects/neuro-variants/variant_position/credible/roussos_2024/variant_figures/roussos_2024.adolescence.Astrocyte/rs76093694_count_position.png",4,220,900)</f>
        <v/>
      </c>
      <c r="T855">
        <f>IMAGE("https://mitra.stanford.edu/kundaje/oak/projects/neuro-variants/variant_position/credible/roussos_2024/variant_figures/roussos_2024.adolescence.Astrocyte/rs76093694_profile_position.png",4,220,900)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0.025929049</v>
      </c>
      <c r="G856" t="n">
        <v>0.4433066688787391</v>
      </c>
      <c r="H856" t="n">
        <v>0.0422246445856241</v>
      </c>
      <c r="I856" t="n">
        <v>0.0077473914181094</v>
      </c>
      <c r="J856" t="n">
        <v>0.0009732071328961</v>
      </c>
      <c r="K856" t="n">
        <v>0.8741489768196629</v>
      </c>
      <c r="L856" t="b">
        <v>0</v>
      </c>
      <c r="M856" t="b">
        <v>0</v>
      </c>
      <c r="N856" t="inlineStr">
        <is>
          <t>alt</t>
        </is>
      </c>
      <c r="O856" t="n">
        <v>90</v>
      </c>
      <c r="P856" t="n">
        <v>0.03793</v>
      </c>
      <c r="Q856" t="n">
        <v>85</v>
      </c>
      <c r="R856" t="n">
        <v>0.144</v>
      </c>
      <c r="S856">
        <f>IMAGE("https://mitra.stanford.edu/kundaje/oak/projects/neuro-variants/variant_position/credible/roussos_2024/variant_figures/roussos_2024.adolescence.Astrocyte/rs12582033_count_position.png",4,220,900)</f>
        <v/>
      </c>
      <c r="T856">
        <f>IMAGE("https://mitra.stanford.edu/kundaje/oak/projects/neuro-variants/variant_position/credible/roussos_2024/variant_figures/roussos_2024.adolescence.Astrocyte/rs12582033_profile_position.png",4,220,900)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-0.067667937</v>
      </c>
      <c r="G857" t="n">
        <v>0.162977274088829</v>
      </c>
      <c r="H857" t="n">
        <v>0.0142752000766116</v>
      </c>
      <c r="I857" t="n">
        <v>0.3663734794577358</v>
      </c>
      <c r="J857" t="n">
        <v>0.1806107764887398</v>
      </c>
      <c r="K857" t="n">
        <v>0.2243006645006533</v>
      </c>
      <c r="L857" t="b">
        <v>0</v>
      </c>
      <c r="M857" t="b">
        <v>0</v>
      </c>
      <c r="N857" t="inlineStr">
        <is>
          <t>ref</t>
        </is>
      </c>
      <c r="O857" t="n">
        <v>-80</v>
      </c>
      <c r="P857" t="n">
        <v>0.005875</v>
      </c>
      <c r="Q857" t="n">
        <v>20</v>
      </c>
      <c r="R857" t="n">
        <v>0.07969999999999999</v>
      </c>
      <c r="S857">
        <f>IMAGE("https://mitra.stanford.edu/kundaje/oak/projects/neuro-variants/variant_position/credible/roussos_2024/variant_figures/roussos_2024.adolescence.Astrocyte/rs77743764_count_position.png",4,220,900)</f>
        <v/>
      </c>
      <c r="T857">
        <f>IMAGE("https://mitra.stanford.edu/kundaje/oak/projects/neuro-variants/variant_position/credible/roussos_2024/variant_figures/roussos_2024.adolescence.Astrocyte/rs77743764_profile_position.png",4,220,900)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-0.00405479334</v>
      </c>
      <c r="G858" t="n">
        <v>0.5375395121303079</v>
      </c>
      <c r="H858" t="n">
        <v>0.0164327268702414</v>
      </c>
      <c r="I858" t="n">
        <v>0.2494337280120079</v>
      </c>
      <c r="J858" t="n">
        <v>0.2189456428211138</v>
      </c>
      <c r="K858" t="n">
        <v>0.1903678646604814</v>
      </c>
      <c r="L858" t="b">
        <v>0</v>
      </c>
      <c r="M858" t="b">
        <v>0</v>
      </c>
      <c r="N858" t="inlineStr">
        <is>
          <t>ref</t>
        </is>
      </c>
      <c r="O858" t="n">
        <v>-100</v>
      </c>
      <c r="P858" t="n">
        <v>0.0447</v>
      </c>
      <c r="Q858" t="n">
        <v>-100</v>
      </c>
      <c r="R858" t="n">
        <v>0.1111</v>
      </c>
      <c r="S858">
        <f>IMAGE("https://mitra.stanford.edu/kundaje/oak/projects/neuro-variants/variant_position/credible/roussos_2024/variant_figures/roussos_2024.adolescence.Astrocyte/rs61939221_count_position.png",4,220,900)</f>
        <v/>
      </c>
      <c r="T858">
        <f>IMAGE("https://mitra.stanford.edu/kundaje/oak/projects/neuro-variants/variant_position/credible/roussos_2024/variant_figures/roussos_2024.adolescence.Astrocyte/rs61939221_profile_position.png",4,220,900)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-0.0060578903879999</v>
      </c>
      <c r="G859" t="n">
        <v>0.841213795473553</v>
      </c>
      <c r="H859" t="n">
        <v>0.0401572674936305</v>
      </c>
      <c r="I859" t="n">
        <v>0.009516218188808099</v>
      </c>
      <c r="J859" t="n">
        <v>0.008885707503782999</v>
      </c>
      <c r="K859" t="n">
        <v>0.6812228810251972</v>
      </c>
      <c r="L859" t="b">
        <v>0</v>
      </c>
      <c r="M859" t="b">
        <v>0</v>
      </c>
      <c r="N859" t="inlineStr">
        <is>
          <t>ref</t>
        </is>
      </c>
      <c r="O859" t="n">
        <v>75</v>
      </c>
      <c r="P859" t="n">
        <v>0.009094</v>
      </c>
      <c r="Q859" t="n">
        <v>75</v>
      </c>
      <c r="R859" t="n">
        <v>0.0653</v>
      </c>
      <c r="S859">
        <f>IMAGE("https://mitra.stanford.edu/kundaje/oak/projects/neuro-variants/variant_position/credible/roussos_2024/variant_figures/roussos_2024.adolescence.Astrocyte/rs4609668_count_position.png",4,220,900)</f>
        <v/>
      </c>
      <c r="T859">
        <f>IMAGE("https://mitra.stanford.edu/kundaje/oak/projects/neuro-variants/variant_position/credible/roussos_2024/variant_figures/roussos_2024.adolescence.Astrocyte/rs4609668_profile_position.png",4,220,900)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-0.0336053174999999</v>
      </c>
      <c r="G860" t="n">
        <v>0.3575496850849168</v>
      </c>
      <c r="H860" t="n">
        <v>0.0140406884810574</v>
      </c>
      <c r="I860" t="n">
        <v>0.3912786702322105</v>
      </c>
      <c r="J860" t="n">
        <v>0.0579725840429634</v>
      </c>
      <c r="K860" t="n">
        <v>0.4166147464930003</v>
      </c>
      <c r="L860" t="b">
        <v>0</v>
      </c>
      <c r="M860" t="b">
        <v>0</v>
      </c>
      <c r="N860" t="inlineStr">
        <is>
          <t>ref</t>
        </is>
      </c>
      <c r="O860" t="n">
        <v>80</v>
      </c>
      <c r="P860" t="n">
        <v>0.006817</v>
      </c>
      <c r="Q860" t="n">
        <v>85</v>
      </c>
      <c r="R860" t="n">
        <v>0.1888</v>
      </c>
      <c r="S860">
        <f>IMAGE("https://mitra.stanford.edu/kundaje/oak/projects/neuro-variants/variant_position/credible/roussos_2024/variant_figures/roussos_2024.adolescence.Astrocyte/rs4445711_count_position.png",4,220,900)</f>
        <v/>
      </c>
      <c r="T860">
        <f>IMAGE("https://mitra.stanford.edu/kundaje/oak/projects/neuro-variants/variant_position/credible/roussos_2024/variant_figures/roussos_2024.adolescence.Astrocyte/rs4445711_profile_position.png",4,220,900)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0.0007107032</v>
      </c>
      <c r="G861" t="n">
        <v>0.6780979600435904</v>
      </c>
      <c r="H861" t="n">
        <v>0.0106200811064351</v>
      </c>
      <c r="I861" t="n">
        <v>0.6793119061957211</v>
      </c>
      <c r="J861" t="n">
        <v>0.0913983918345547</v>
      </c>
      <c r="K861" t="n">
        <v>0.3438030169610469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0.007706</v>
      </c>
      <c r="Q861" t="n">
        <v>-40</v>
      </c>
      <c r="R861" t="n">
        <v>0.00415</v>
      </c>
      <c r="S861">
        <f>IMAGE("https://mitra.stanford.edu/kundaje/oak/projects/neuro-variants/variant_position/credible/roussos_2024/variant_figures/roussos_2024.adolescence.Astrocyte/rs1981936_count_position.png",4,220,900)</f>
        <v/>
      </c>
      <c r="T861">
        <f>IMAGE("https://mitra.stanford.edu/kundaje/oak/projects/neuro-variants/variant_position/credible/roussos_2024/variant_figures/roussos_2024.adolescence.Astrocyte/rs1981936_profile_position.png",4,220,900)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-0.1358782865999999</v>
      </c>
      <c r="G862" t="n">
        <v>0.0548450870434123</v>
      </c>
      <c r="H862" t="n">
        <v>0.0145489832539919</v>
      </c>
      <c r="I862" t="n">
        <v>0.3528117879420036</v>
      </c>
      <c r="J862" t="n">
        <v>0.0233183989555825</v>
      </c>
      <c r="K862" t="n">
        <v>0.5595636971897699</v>
      </c>
      <c r="L862" t="b">
        <v>0</v>
      </c>
      <c r="M862" t="b">
        <v>0</v>
      </c>
      <c r="N862" t="inlineStr">
        <is>
          <t>ref</t>
        </is>
      </c>
      <c r="O862" t="n">
        <v>-100</v>
      </c>
      <c r="P862" t="n">
        <v>0.00949</v>
      </c>
      <c r="Q862" t="n">
        <v>-65</v>
      </c>
      <c r="R862" t="n">
        <v>0.0764</v>
      </c>
      <c r="S862">
        <f>IMAGE("https://mitra.stanford.edu/kundaje/oak/projects/neuro-variants/variant_position/credible/roussos_2024/variant_figures/roussos_2024.adolescence.Astrocyte/rs7976025_count_position.png",4,220,900)</f>
        <v/>
      </c>
      <c r="T862">
        <f>IMAGE("https://mitra.stanford.edu/kundaje/oak/projects/neuro-variants/variant_position/credible/roussos_2024/variant_figures/roussos_2024.adolescence.Astrocyte/rs7976025_profile_position.png",4,220,900)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0.06627122219999999</v>
      </c>
      <c r="G863" t="n">
        <v>0.1546243039591082</v>
      </c>
      <c r="H863" t="n">
        <v>0.0127555731002481</v>
      </c>
      <c r="I863" t="n">
        <v>0.4868012731189555</v>
      </c>
      <c r="J863" t="n">
        <v>0.0195538972791739</v>
      </c>
      <c r="K863" t="n">
        <v>0.5831569536211375</v>
      </c>
      <c r="L863" t="b">
        <v>0</v>
      </c>
      <c r="M863" t="b">
        <v>0</v>
      </c>
      <c r="N863" t="inlineStr">
        <is>
          <t>alt</t>
        </is>
      </c>
      <c r="O863" t="n">
        <v>-50</v>
      </c>
      <c r="P863" t="n">
        <v>0.013</v>
      </c>
      <c r="Q863" t="n">
        <v>-70</v>
      </c>
      <c r="R863" t="n">
        <v>0.0747</v>
      </c>
      <c r="S863">
        <f>IMAGE("https://mitra.stanford.edu/kundaje/oak/projects/neuro-variants/variant_position/credible/roussos_2024/variant_figures/roussos_2024.adolescence.Astrocyte/rs10778611_count_position.png",4,220,900)</f>
        <v/>
      </c>
      <c r="T863">
        <f>IMAGE("https://mitra.stanford.edu/kundaje/oak/projects/neuro-variants/variant_position/credible/roussos_2024/variant_figures/roussos_2024.adolescence.Astrocyte/rs10778611_profile_position.png",4,220,900)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0.0513003528999999</v>
      </c>
      <c r="G864" t="n">
        <v>0.2313339306386757</v>
      </c>
      <c r="H864" t="n">
        <v>0.009845468994792101</v>
      </c>
      <c r="I864" t="n">
        <v>0.7287287844853916</v>
      </c>
      <c r="J864" t="n">
        <v>0.123688544046524</v>
      </c>
      <c r="K864" t="n">
        <v>0.2880752720328758</v>
      </c>
      <c r="L864" t="b">
        <v>0</v>
      </c>
      <c r="M864" t="b">
        <v>0</v>
      </c>
      <c r="N864" t="inlineStr">
        <is>
          <t>alt</t>
        </is>
      </c>
      <c r="O864" t="n">
        <v>100</v>
      </c>
      <c r="P864" t="n">
        <v>0.00868</v>
      </c>
      <c r="Q864" t="n">
        <v>-15</v>
      </c>
      <c r="R864" t="n">
        <v>0.02069</v>
      </c>
      <c r="S864">
        <f>IMAGE("https://mitra.stanford.edu/kundaje/oak/projects/neuro-variants/variant_position/credible/roussos_2024/variant_figures/roussos_2024.adolescence.Astrocyte/rs4964233_count_position.png",4,220,900)</f>
        <v/>
      </c>
      <c r="T864">
        <f>IMAGE("https://mitra.stanford.edu/kundaje/oak/projects/neuro-variants/variant_position/credible/roussos_2024/variant_figures/roussos_2024.adolescence.Astrocyte/rs4964233_profile_position.png",4,220,900)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0.0784081712</v>
      </c>
      <c r="G865" t="n">
        <v>0.1201885541850069</v>
      </c>
      <c r="H865" t="n">
        <v>0.0121122155723881</v>
      </c>
      <c r="I865" t="n">
        <v>0.5394646371887638</v>
      </c>
      <c r="J865" t="n">
        <v>0.0184004391300477</v>
      </c>
      <c r="K865" t="n">
        <v>0.5815268570071767</v>
      </c>
      <c r="L865" t="b">
        <v>0</v>
      </c>
      <c r="M865" t="b">
        <v>0</v>
      </c>
      <c r="N865" t="inlineStr">
        <is>
          <t>alt</t>
        </is>
      </c>
      <c r="O865" t="n">
        <v>-45</v>
      </c>
      <c r="P865" t="n">
        <v>0.006393</v>
      </c>
      <c r="Q865" t="n">
        <v>-60</v>
      </c>
      <c r="R865" t="n">
        <v>0.0427</v>
      </c>
      <c r="S865">
        <f>IMAGE("https://mitra.stanford.edu/kundaje/oak/projects/neuro-variants/variant_position/credible/roussos_2024/variant_figures/roussos_2024.adolescence.Astrocyte/rs2374969_count_position.png",4,220,900)</f>
        <v/>
      </c>
      <c r="T865">
        <f>IMAGE("https://mitra.stanford.edu/kundaje/oak/projects/neuro-variants/variant_position/credible/roussos_2024/variant_figures/roussos_2024.adolescence.Astrocyte/rs2374969_profile_position.png",4,220,900)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0.00165515536</v>
      </c>
      <c r="G866" t="n">
        <v>0.7818700525591885</v>
      </c>
      <c r="H866" t="n">
        <v>0.0075229521843175</v>
      </c>
      <c r="I866" t="n">
        <v>0.9474410611531354</v>
      </c>
      <c r="J866" t="n">
        <v>0.0048979319348425</v>
      </c>
      <c r="K866" t="n">
        <v>0.7394115553680747</v>
      </c>
      <c r="L866" t="b">
        <v>0</v>
      </c>
      <c r="M866" t="b">
        <v>0</v>
      </c>
      <c r="N866" t="inlineStr">
        <is>
          <t>alt</t>
        </is>
      </c>
      <c r="O866" t="n">
        <v>-65</v>
      </c>
      <c r="P866" t="n">
        <v>0.006485</v>
      </c>
      <c r="Q866" t="n">
        <v>90</v>
      </c>
      <c r="R866" t="n">
        <v>0.1141</v>
      </c>
      <c r="S866">
        <f>IMAGE("https://mitra.stanford.edu/kundaje/oak/projects/neuro-variants/variant_position/credible/roussos_2024/variant_figures/roussos_2024.adolescence.Astrocyte/rs10778612_count_position.png",4,220,900)</f>
        <v/>
      </c>
      <c r="T866">
        <f>IMAGE("https://mitra.stanford.edu/kundaje/oak/projects/neuro-variants/variant_position/credible/roussos_2024/variant_figures/roussos_2024.adolescence.Astrocyte/rs10778612_profile_position.png",4,220,900)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0.0712480576</v>
      </c>
      <c r="G867" t="n">
        <v>0.1351321525713452</v>
      </c>
      <c r="H867" t="n">
        <v>0.0119213251876429</v>
      </c>
      <c r="I867" t="n">
        <v>0.5656372689928527</v>
      </c>
      <c r="J867" t="n">
        <v>0.009677921846719799</v>
      </c>
      <c r="K867" t="n">
        <v>0.6743544649857364</v>
      </c>
      <c r="L867" t="b">
        <v>0</v>
      </c>
      <c r="M867" t="b">
        <v>0</v>
      </c>
      <c r="N867" t="inlineStr">
        <is>
          <t>alt</t>
        </is>
      </c>
      <c r="O867" t="n">
        <v>-95</v>
      </c>
      <c r="P867" t="n">
        <v>0.02321</v>
      </c>
      <c r="Q867" t="n">
        <v>-70</v>
      </c>
      <c r="R867" t="n">
        <v>0.1527</v>
      </c>
      <c r="S867">
        <f>IMAGE("https://mitra.stanford.edu/kundaje/oak/projects/neuro-variants/variant_position/credible/roussos_2024/variant_figures/roussos_2024.adolescence.Astrocyte/rs10778613_count_position.png",4,220,900)</f>
        <v/>
      </c>
      <c r="T867">
        <f>IMAGE("https://mitra.stanford.edu/kundaje/oak/projects/neuro-variants/variant_position/credible/roussos_2024/variant_figures/roussos_2024.adolescence.Astrocyte/rs10778613_profile_position.png",4,220,900)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-0.03673818074</v>
      </c>
      <c r="G868" t="n">
        <v>0.3366591465281962</v>
      </c>
      <c r="H868" t="n">
        <v>0.0150845996836439</v>
      </c>
      <c r="I868" t="n">
        <v>0.3165466003510364</v>
      </c>
      <c r="J868" t="n">
        <v>0.004136872088538</v>
      </c>
      <c r="K868" t="n">
        <v>0.7687397164871261</v>
      </c>
      <c r="L868" t="b">
        <v>0</v>
      </c>
      <c r="M868" t="b">
        <v>0</v>
      </c>
      <c r="N868" t="inlineStr">
        <is>
          <t>ref</t>
        </is>
      </c>
      <c r="O868" t="n">
        <v>85</v>
      </c>
      <c r="P868" t="n">
        <v>0.002792</v>
      </c>
      <c r="Q868" t="n">
        <v>-85</v>
      </c>
      <c r="R868" t="n">
        <v>0.05997</v>
      </c>
      <c r="S868">
        <f>IMAGE("https://mitra.stanford.edu/kundaje/oak/projects/neuro-variants/variant_position/credible/roussos_2024/variant_figures/roussos_2024.adolescence.Astrocyte/rs2162290_count_position.png",4,220,900)</f>
        <v/>
      </c>
      <c r="T868">
        <f>IMAGE("https://mitra.stanford.edu/kundaje/oak/projects/neuro-variants/variant_position/credible/roussos_2024/variant_figures/roussos_2024.adolescence.Astrocyte/rs2162290_profile_position.png",4,220,900)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-0.035022110546</v>
      </c>
      <c r="G869" t="n">
        <v>0.3946503343900013</v>
      </c>
      <c r="H869" t="n">
        <v>0.0137686836132371</v>
      </c>
      <c r="I869" t="n">
        <v>0.3945850833453575</v>
      </c>
      <c r="J869" t="n">
        <v>0.2606392605999465</v>
      </c>
      <c r="K869" t="n">
        <v>0.1591131516583575</v>
      </c>
      <c r="L869" t="b">
        <v>0</v>
      </c>
      <c r="M869" t="b">
        <v>0</v>
      </c>
      <c r="N869" t="inlineStr">
        <is>
          <t>ref</t>
        </is>
      </c>
      <c r="O869" t="n">
        <v>100</v>
      </c>
      <c r="P869" t="n">
        <v>0.00912</v>
      </c>
      <c r="Q869" t="n">
        <v>0</v>
      </c>
      <c r="R869" t="n">
        <v>0</v>
      </c>
      <c r="S869">
        <f>IMAGE("https://mitra.stanford.edu/kundaje/oak/projects/neuro-variants/variant_position/credible/roussos_2024/variant_figures/roussos_2024.adolescence.Astrocyte/rs1365309_count_position.png",4,220,900)</f>
        <v/>
      </c>
      <c r="T869">
        <f>IMAGE("https://mitra.stanford.edu/kundaje/oak/projects/neuro-variants/variant_position/credible/roussos_2024/variant_figures/roussos_2024.adolescence.Astrocyte/rs1365309_profile_position.png",4,220,900)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0.241304422</v>
      </c>
      <c r="G870" t="n">
        <v>0.0115071787064895</v>
      </c>
      <c r="H870" t="n">
        <v>0.0321255187607811</v>
      </c>
      <c r="I870" t="n">
        <v>0.0255235727926874</v>
      </c>
      <c r="J870" t="n">
        <v>0.1501394534611161</v>
      </c>
      <c r="K870" t="n">
        <v>0.2566494667227132</v>
      </c>
      <c r="L870" t="b">
        <v>1</v>
      </c>
      <c r="M870" t="b">
        <v>0</v>
      </c>
      <c r="N870" t="inlineStr">
        <is>
          <t>alt</t>
        </is>
      </c>
      <c r="O870" t="n">
        <v>50</v>
      </c>
      <c r="P870" t="n">
        <v>0.001797</v>
      </c>
      <c r="Q870" t="n">
        <v>-55</v>
      </c>
      <c r="R870" t="n">
        <v>0.0492</v>
      </c>
      <c r="S870">
        <f>IMAGE("https://mitra.stanford.edu/kundaje/oak/projects/neuro-variants/variant_position/credible/roussos_2024/variant_figures/roussos_2024.adolescence.Astrocyte/rs1106752_count_position.png",4,220,900)</f>
        <v/>
      </c>
      <c r="T870">
        <f>IMAGE("https://mitra.stanford.edu/kundaje/oak/projects/neuro-variants/variant_position/credible/roussos_2024/variant_figures/roussos_2024.adolescence.Astrocyte/rs1106752_profile_position.png",4,220,900)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0.181207124</v>
      </c>
      <c r="G871" t="n">
        <v>0.0268564873249268</v>
      </c>
      <c r="H871" t="n">
        <v>0.0290205149855239</v>
      </c>
      <c r="I871" t="n">
        <v>0.036260105254324</v>
      </c>
      <c r="J871" t="n">
        <v>0.0097179776281043</v>
      </c>
      <c r="K871" t="n">
        <v>0.6612110737316488</v>
      </c>
      <c r="L871" t="b">
        <v>0</v>
      </c>
      <c r="M871" t="b">
        <v>0</v>
      </c>
      <c r="N871" t="inlineStr">
        <is>
          <t>alt</t>
        </is>
      </c>
      <c r="O871" t="n">
        <v>75</v>
      </c>
      <c r="P871" t="n">
        <v>0.004013</v>
      </c>
      <c r="Q871" t="n">
        <v>45</v>
      </c>
      <c r="R871" t="n">
        <v>0.04883</v>
      </c>
      <c r="S871">
        <f>IMAGE("https://mitra.stanford.edu/kundaje/oak/projects/neuro-variants/variant_position/credible/roussos_2024/variant_figures/roussos_2024.adolescence.Astrocyte/rs7973976_count_position.png",4,220,900)</f>
        <v/>
      </c>
      <c r="T871">
        <f>IMAGE("https://mitra.stanford.edu/kundaje/oak/projects/neuro-variants/variant_position/credible/roussos_2024/variant_figures/roussos_2024.adolescence.Astrocyte/rs7973976_profile_position.png",4,220,900)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0.00094089766</v>
      </c>
      <c r="G872" t="n">
        <v>0.7619647549284133</v>
      </c>
      <c r="H872" t="n">
        <v>0.0230860803148061</v>
      </c>
      <c r="I872" t="n">
        <v>0.0839701402954136</v>
      </c>
      <c r="J872" t="n">
        <v>0.0332359137168797</v>
      </c>
      <c r="K872" t="n">
        <v>0.5012437566577657</v>
      </c>
      <c r="L872" t="b">
        <v>0</v>
      </c>
      <c r="M872" t="b">
        <v>0</v>
      </c>
      <c r="N872" t="inlineStr">
        <is>
          <t>alt</t>
        </is>
      </c>
      <c r="O872" t="n">
        <v>20</v>
      </c>
      <c r="P872" t="n">
        <v>0.001465</v>
      </c>
      <c r="Q872" t="n">
        <v>10</v>
      </c>
      <c r="R872" t="n">
        <v>0.0188</v>
      </c>
      <c r="S872">
        <f>IMAGE("https://mitra.stanford.edu/kundaje/oak/projects/neuro-variants/variant_position/credible/roussos_2024/variant_figures/roussos_2024.adolescence.Astrocyte/rs7313402_count_position.png",4,220,900)</f>
        <v/>
      </c>
      <c r="T872">
        <f>IMAGE("https://mitra.stanford.edu/kundaje/oak/projects/neuro-variants/variant_position/credible/roussos_2024/variant_figures/roussos_2024.adolescence.Astrocyte/rs7313402_profile_position.png",4,220,900)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-0.0463203492</v>
      </c>
      <c r="G873" t="n">
        <v>0.3050513521586216</v>
      </c>
      <c r="H873" t="n">
        <v>0.011636037157247</v>
      </c>
      <c r="I873" t="n">
        <v>0.5814458729207768</v>
      </c>
      <c r="J873" t="n">
        <v>0.3023922202771266</v>
      </c>
      <c r="K873" t="n">
        <v>0.1328404757710964</v>
      </c>
      <c r="L873" t="b">
        <v>0</v>
      </c>
      <c r="M873" t="b">
        <v>0</v>
      </c>
      <c r="N873" t="inlineStr">
        <is>
          <t>ref</t>
        </is>
      </c>
      <c r="O873" t="n">
        <v>-90</v>
      </c>
      <c r="P873" t="n">
        <v>0.03244</v>
      </c>
      <c r="Q873" t="n">
        <v>-95</v>
      </c>
      <c r="R873" t="n">
        <v>0.153</v>
      </c>
      <c r="S873">
        <f>IMAGE("https://mitra.stanford.edu/kundaje/oak/projects/neuro-variants/variant_position/credible/roussos_2024/variant_figures/roussos_2024.adolescence.Astrocyte/rs10861879_count_position.png",4,220,900)</f>
        <v/>
      </c>
      <c r="T873">
        <f>IMAGE("https://mitra.stanford.edu/kundaje/oak/projects/neuro-variants/variant_position/credible/roussos_2024/variant_figures/roussos_2024.adolescence.Astrocyte/rs10861879_profile_position.png",4,220,900)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0.24064527</v>
      </c>
      <c r="G874" t="n">
        <v>0.010820246353473</v>
      </c>
      <c r="H874" t="n">
        <v>0.0278628979333301</v>
      </c>
      <c r="I874" t="n">
        <v>0.0423961844102784</v>
      </c>
      <c r="J874" t="n">
        <v>0.0435146722843663</v>
      </c>
      <c r="K874" t="n">
        <v>0.4766170821067154</v>
      </c>
      <c r="L874" t="b">
        <v>1</v>
      </c>
      <c r="M874" t="b">
        <v>0</v>
      </c>
      <c r="N874" t="inlineStr">
        <is>
          <t>alt</t>
        </is>
      </c>
      <c r="O874" t="n">
        <v>20</v>
      </c>
      <c r="P874" t="n">
        <v>0.001839</v>
      </c>
      <c r="Q874" t="n">
        <v>-65</v>
      </c>
      <c r="R874" t="n">
        <v>0.05334</v>
      </c>
      <c r="S874">
        <f>IMAGE("https://mitra.stanford.edu/kundaje/oak/projects/neuro-variants/variant_position/credible/roussos_2024/variant_figures/roussos_2024.adolescence.Astrocyte/rs4964661_count_position.png",4,220,900)</f>
        <v/>
      </c>
      <c r="T874">
        <f>IMAGE("https://mitra.stanford.edu/kundaje/oak/projects/neuro-variants/variant_position/credible/roussos_2024/variant_figures/roussos_2024.adolescence.Astrocyte/rs4964661_profile_position.png",4,220,900)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-0.0271358204</v>
      </c>
      <c r="G875" t="n">
        <v>0.3414568674695512</v>
      </c>
      <c r="H875" t="n">
        <v>0.0089354094897928</v>
      </c>
      <c r="I875" t="n">
        <v>0.804338147667531</v>
      </c>
      <c r="J875" t="n">
        <v>0.0090340622496512</v>
      </c>
      <c r="K875" t="n">
        <v>0.7025039815468133</v>
      </c>
      <c r="L875" t="b">
        <v>0</v>
      </c>
      <c r="M875" t="b">
        <v>0</v>
      </c>
      <c r="N875" t="inlineStr">
        <is>
          <t>ref</t>
        </is>
      </c>
      <c r="O875" t="n">
        <v>55</v>
      </c>
      <c r="P875" t="n">
        <v>0.0051</v>
      </c>
      <c r="Q875" t="n">
        <v>-5</v>
      </c>
      <c r="R875" t="n">
        <v>0.01422</v>
      </c>
      <c r="S875">
        <f>IMAGE("https://mitra.stanford.edu/kundaje/oak/projects/neuro-variants/variant_position/credible/roussos_2024/variant_figures/roussos_2024.adolescence.Astrocyte/rs3764002_count_position.png",4,220,900)</f>
        <v/>
      </c>
      <c r="T875">
        <f>IMAGE("https://mitra.stanford.edu/kundaje/oak/projects/neuro-variants/variant_position/credible/roussos_2024/variant_figures/roussos_2024.adolescence.Astrocyte/rs3764002_profile_position.png",4,220,900)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0.247335902</v>
      </c>
      <c r="G876" t="n">
        <v>0.0110555045729378</v>
      </c>
      <c r="H876" t="n">
        <v>0.0288002440497855</v>
      </c>
      <c r="I876" t="n">
        <v>0.0369300255465164</v>
      </c>
      <c r="J876" t="n">
        <v>0.3215255318517638</v>
      </c>
      <c r="K876" t="n">
        <v>0.1229335911894663</v>
      </c>
      <c r="L876" t="b">
        <v>1</v>
      </c>
      <c r="M876" t="b">
        <v>0</v>
      </c>
      <c r="N876" t="inlineStr">
        <is>
          <t>alt</t>
        </is>
      </c>
      <c r="O876" t="n">
        <v>-35</v>
      </c>
      <c r="P876" t="n">
        <v>0.02725</v>
      </c>
      <c r="Q876" t="n">
        <v>30</v>
      </c>
      <c r="R876" t="n">
        <v>0.10205</v>
      </c>
      <c r="S876">
        <f>IMAGE("https://mitra.stanford.edu/kundaje/oak/projects/neuro-variants/variant_position/credible/roussos_2024/variant_figures/roussos_2024.adolescence.Astrocyte/rs4964665_count_position.png",4,220,900)</f>
        <v/>
      </c>
      <c r="T876">
        <f>IMAGE("https://mitra.stanford.edu/kundaje/oak/projects/neuro-variants/variant_position/credible/roussos_2024/variant_figures/roussos_2024.adolescence.Astrocyte/rs4964665_profile_position.png",4,220,900)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0.0466980146</v>
      </c>
      <c r="G877" t="n">
        <v>0.1348303422714203</v>
      </c>
      <c r="H877" t="n">
        <v>0.0182934219315354</v>
      </c>
      <c r="I877" t="n">
        <v>0.1839561796563363</v>
      </c>
      <c r="J877" t="n">
        <v>0.0008864196065631</v>
      </c>
      <c r="K877" t="n">
        <v>0.8842413837997943</v>
      </c>
      <c r="L877" t="b">
        <v>0</v>
      </c>
      <c r="M877" t="b">
        <v>0</v>
      </c>
      <c r="N877" t="inlineStr">
        <is>
          <t>alt</t>
        </is>
      </c>
      <c r="O877" t="n">
        <v>-65</v>
      </c>
      <c r="P877" t="n">
        <v>0.001564</v>
      </c>
      <c r="Q877" t="n">
        <v>-30</v>
      </c>
      <c r="R877" t="n">
        <v>0.07385</v>
      </c>
      <c r="S877">
        <f>IMAGE("https://mitra.stanford.edu/kundaje/oak/projects/neuro-variants/variant_position/credible/roussos_2024/variant_figures/roussos_2024.adolescence.Astrocyte/rs2559882_count_position.png",4,220,900)</f>
        <v/>
      </c>
      <c r="T877">
        <f>IMAGE("https://mitra.stanford.edu/kundaje/oak/projects/neuro-variants/variant_position/credible/roussos_2024/variant_figures/roussos_2024.adolescence.Astrocyte/rs2559882_profile_position.png",4,220,900)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-0.0136447851999999</v>
      </c>
      <c r="G878" t="n">
        <v>0.5988988934805888</v>
      </c>
      <c r="H878" t="n">
        <v>0.0108102620547707</v>
      </c>
      <c r="I878" t="n">
        <v>0.6624923881204353</v>
      </c>
      <c r="J878" t="n">
        <v>0.0775606029136871</v>
      </c>
      <c r="K878" t="n">
        <v>0.3692292923335121</v>
      </c>
      <c r="L878" t="b">
        <v>0</v>
      </c>
      <c r="M878" t="b">
        <v>0</v>
      </c>
      <c r="N878" t="inlineStr">
        <is>
          <t>ref</t>
        </is>
      </c>
      <c r="O878" t="n">
        <v>-5</v>
      </c>
      <c r="P878" t="n">
        <v>0.0005054</v>
      </c>
      <c r="Q878" t="n">
        <v>15</v>
      </c>
      <c r="R878" t="n">
        <v>0.0509</v>
      </c>
      <c r="S878">
        <f>IMAGE("https://mitra.stanford.edu/kundaje/oak/projects/neuro-variants/variant_position/credible/roussos_2024/variant_figures/roussos_2024.adolescence.Astrocyte/rs2559875_count_position.png",4,220,900)</f>
        <v/>
      </c>
      <c r="T878">
        <f>IMAGE("https://mitra.stanford.edu/kundaje/oak/projects/neuro-variants/variant_position/credible/roussos_2024/variant_figures/roussos_2024.adolescence.Astrocyte/rs2559875_profile_position.png",4,220,900)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-0.0024486187178</v>
      </c>
      <c r="G879" t="n">
        <v>0.8799963823879204</v>
      </c>
      <c r="H879" t="n">
        <v>0.0123509421009491</v>
      </c>
      <c r="I879" t="n">
        <v>0.5210018990285902</v>
      </c>
      <c r="J879" t="n">
        <v>0.0133526689018781</v>
      </c>
      <c r="K879" t="n">
        <v>0.6299296985562685</v>
      </c>
      <c r="L879" t="b">
        <v>0</v>
      </c>
      <c r="M879" t="b">
        <v>0</v>
      </c>
      <c r="N879" t="inlineStr">
        <is>
          <t>ref</t>
        </is>
      </c>
      <c r="O879" t="n">
        <v>5</v>
      </c>
      <c r="P879" t="n">
        <v>0.001244</v>
      </c>
      <c r="Q879" t="n">
        <v>-50</v>
      </c>
      <c r="R879" t="n">
        <v>0.06116</v>
      </c>
      <c r="S879">
        <f>IMAGE("https://mitra.stanford.edu/kundaje/oak/projects/neuro-variants/variant_position/credible/roussos_2024/variant_figures/roussos_2024.adolescence.Astrocyte/rs75306978_count_position.png",4,220,900)</f>
        <v/>
      </c>
      <c r="T879">
        <f>IMAGE("https://mitra.stanford.edu/kundaje/oak/projects/neuro-variants/variant_position/credible/roussos_2024/variant_figures/roussos_2024.adolescence.Astrocyte/rs75306978_profile_position.png",4,220,900)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0.0198868036</v>
      </c>
      <c r="G880" t="n">
        <v>0.4716298851712391</v>
      </c>
      <c r="H880" t="n">
        <v>0.0122835027750057</v>
      </c>
      <c r="I880" t="n">
        <v>0.5281367455658365</v>
      </c>
      <c r="J880" t="n">
        <v>0.1076862593834376</v>
      </c>
      <c r="K880" t="n">
        <v>0.322200618084035</v>
      </c>
      <c r="L880" t="b">
        <v>0</v>
      </c>
      <c r="M880" t="b">
        <v>0</v>
      </c>
      <c r="N880" t="inlineStr">
        <is>
          <t>alt</t>
        </is>
      </c>
      <c r="O880" t="n">
        <v>25</v>
      </c>
      <c r="P880" t="n">
        <v>0.001785</v>
      </c>
      <c r="Q880" t="n">
        <v>100</v>
      </c>
      <c r="R880" t="n">
        <v>0.167</v>
      </c>
      <c r="S880">
        <f>IMAGE("https://mitra.stanford.edu/kundaje/oak/projects/neuro-variants/variant_position/credible/roussos_2024/variant_figures/roussos_2024.adolescence.Astrocyte/rs79715421_count_position.png",4,220,900)</f>
        <v/>
      </c>
      <c r="T880">
        <f>IMAGE("https://mitra.stanford.edu/kundaje/oak/projects/neuro-variants/variant_position/credible/roussos_2024/variant_figures/roussos_2024.adolescence.Astrocyte/rs79715421_profile_position.png",4,220,900)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0.0208582767</v>
      </c>
      <c r="G881" t="n">
        <v>0.5141446079200537</v>
      </c>
      <c r="H881" t="n">
        <v>0.0079228587665576</v>
      </c>
      <c r="I881" t="n">
        <v>0.9361498729597086</v>
      </c>
      <c r="J881" t="n">
        <v>0.0289729400943535</v>
      </c>
      <c r="K881" t="n">
        <v>0.5303270025366539</v>
      </c>
      <c r="L881" t="b">
        <v>0</v>
      </c>
      <c r="M881" t="b">
        <v>0</v>
      </c>
      <c r="N881" t="inlineStr">
        <is>
          <t>alt</t>
        </is>
      </c>
      <c r="O881" t="n">
        <v>-60</v>
      </c>
      <c r="P881" t="n">
        <v>0.013374</v>
      </c>
      <c r="Q881" t="n">
        <v>65</v>
      </c>
      <c r="R881" t="n">
        <v>0.0814</v>
      </c>
      <c r="S881">
        <f>IMAGE("https://mitra.stanford.edu/kundaje/oak/projects/neuro-variants/variant_position/credible/roussos_2024/variant_figures/roussos_2024.adolescence.Astrocyte/rs67917264_count_position.png",4,220,900)</f>
        <v/>
      </c>
      <c r="T881">
        <f>IMAGE("https://mitra.stanford.edu/kundaje/oak/projects/neuro-variants/variant_position/credible/roussos_2024/variant_figures/roussos_2024.adolescence.Astrocyte/rs67917264_profile_position.png",4,220,900)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-0.0688762904</v>
      </c>
      <c r="G882" t="n">
        <v>0.1464229642725254</v>
      </c>
      <c r="H882" t="n">
        <v>0.009796723022138401</v>
      </c>
      <c r="I882" t="n">
        <v>0.7832993100364243</v>
      </c>
      <c r="J882" t="n">
        <v>0.6077418924131383</v>
      </c>
      <c r="K882" t="n">
        <v>0.0327235062866514</v>
      </c>
      <c r="L882" t="b">
        <v>0</v>
      </c>
      <c r="M882" t="b">
        <v>0</v>
      </c>
      <c r="N882" t="inlineStr">
        <is>
          <t>ref</t>
        </is>
      </c>
      <c r="O882" t="n">
        <v>-90</v>
      </c>
      <c r="P882" t="n">
        <v>0.2278</v>
      </c>
      <c r="Q882" t="n">
        <v>-100</v>
      </c>
      <c r="R882" t="n">
        <v>0.1175</v>
      </c>
      <c r="S882">
        <f>IMAGE("https://mitra.stanford.edu/kundaje/oak/projects/neuro-variants/variant_position/credible/roussos_2024/variant_figures/roussos_2024.adolescence.Astrocyte/rs3759384_count_position.png",4,220,900)</f>
        <v/>
      </c>
      <c r="T882">
        <f>IMAGE("https://mitra.stanford.edu/kundaje/oak/projects/neuro-variants/variant_position/credible/roussos_2024/variant_figures/roussos_2024.adolescence.Astrocyte/rs3759384_profile_position.png",4,220,900)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0.0127594897599999</v>
      </c>
      <c r="G883" t="n">
        <v>0.4339507799194415</v>
      </c>
      <c r="H883" t="n">
        <v>0.0156173217492989</v>
      </c>
      <c r="I883" t="n">
        <v>0.294825577243118</v>
      </c>
      <c r="J883" t="n">
        <v>0.009758775183218001</v>
      </c>
      <c r="K883" t="n">
        <v>0.6600768079600859</v>
      </c>
      <c r="L883" t="b">
        <v>0</v>
      </c>
      <c r="M883" t="b">
        <v>0</v>
      </c>
      <c r="N883" t="inlineStr">
        <is>
          <t>alt</t>
        </is>
      </c>
      <c r="O883" t="n">
        <v>75</v>
      </c>
      <c r="P883" t="n">
        <v>0.002243</v>
      </c>
      <c r="Q883" t="n">
        <v>-100</v>
      </c>
      <c r="R883" t="n">
        <v>0.1656</v>
      </c>
      <c r="S883">
        <f>IMAGE("https://mitra.stanford.edu/kundaje/oak/projects/neuro-variants/variant_position/credible/roussos_2024/variant_figures/roussos_2024.adolescence.Astrocyte/rs11065647_count_position.png",4,220,900)</f>
        <v/>
      </c>
      <c r="T883">
        <f>IMAGE("https://mitra.stanford.edu/kundaje/oak/projects/neuro-variants/variant_position/credible/roussos_2024/variant_figures/roussos_2024.adolescence.Astrocyte/rs11065647_profile_position.png",4,220,900)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0.0359860958</v>
      </c>
      <c r="G884" t="n">
        <v>0.2995600141357429</v>
      </c>
      <c r="H884" t="n">
        <v>0.0129320131541511</v>
      </c>
      <c r="I884" t="n">
        <v>0.4721358720758614</v>
      </c>
      <c r="J884" t="n">
        <v>0.0318895943981247</v>
      </c>
      <c r="K884" t="n">
        <v>0.5044667021059931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0.02246</v>
      </c>
      <c r="Q884" t="n">
        <v>-100</v>
      </c>
      <c r="R884" t="n">
        <v>0.03516</v>
      </c>
      <c r="S884">
        <f>IMAGE("https://mitra.stanford.edu/kundaje/oak/projects/neuro-variants/variant_position/credible/roussos_2024/variant_figures/roussos_2024.adolescence.Astrocyte/rs184629901_count_position.png",4,220,900)</f>
        <v/>
      </c>
      <c r="T884">
        <f>IMAGE("https://mitra.stanford.edu/kundaje/oak/projects/neuro-variants/variant_position/credible/roussos_2024/variant_figures/roussos_2024.adolescence.Astrocyte/rs184629901_profile_position.png",4,220,900)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-0.0189841386</v>
      </c>
      <c r="G885" t="n">
        <v>0.1511117326039076</v>
      </c>
      <c r="H885" t="n">
        <v>0.0344583321978373</v>
      </c>
      <c r="I885" t="n">
        <v>0.018269797680486</v>
      </c>
      <c r="J885" t="n">
        <v>0.1187283031184167</v>
      </c>
      <c r="K885" t="n">
        <v>0.2936357646245263</v>
      </c>
      <c r="L885" t="b">
        <v>1</v>
      </c>
      <c r="M885" t="b">
        <v>0</v>
      </c>
      <c r="N885" t="inlineStr">
        <is>
          <t>ref</t>
        </is>
      </c>
      <c r="O885" t="n">
        <v>45</v>
      </c>
      <c r="P885" t="n">
        <v>0.005188</v>
      </c>
      <c r="Q885" t="n">
        <v>85</v>
      </c>
      <c r="R885" t="n">
        <v>0.1447</v>
      </c>
      <c r="S885">
        <f>IMAGE("https://mitra.stanford.edu/kundaje/oak/projects/neuro-variants/variant_position/credible/roussos_2024/variant_figures/roussos_2024.adolescence.Astrocyte/rs4766497_count_position.png",4,220,900)</f>
        <v/>
      </c>
      <c r="T885">
        <f>IMAGE("https://mitra.stanford.edu/kundaje/oak/projects/neuro-variants/variant_position/credible/roussos_2024/variant_figures/roussos_2024.adolescence.Astrocyte/rs4766497_profile_position.png",4,220,900)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0.0427093696</v>
      </c>
      <c r="G886" t="n">
        <v>0.3126248008540467</v>
      </c>
      <c r="H886" t="n">
        <v>0.0127267934826497</v>
      </c>
      <c r="I886" t="n">
        <v>0.4823473442446748</v>
      </c>
      <c r="J886" t="n">
        <v>0.0557925110524285</v>
      </c>
      <c r="K886" t="n">
        <v>0.4227936785001348</v>
      </c>
      <c r="L886" t="b">
        <v>0</v>
      </c>
      <c r="M886" t="b">
        <v>0</v>
      </c>
      <c r="N886" t="inlineStr">
        <is>
          <t>alt</t>
        </is>
      </c>
      <c r="O886" t="n">
        <v>-15</v>
      </c>
      <c r="P886" t="n">
        <v>0.02863</v>
      </c>
      <c r="Q886" t="n">
        <v>15</v>
      </c>
      <c r="R886" t="n">
        <v>0.01358</v>
      </c>
      <c r="S886">
        <f>IMAGE("https://mitra.stanford.edu/kundaje/oak/projects/neuro-variants/variant_position/credible/roussos_2024/variant_figures/roussos_2024.adolescence.Astrocyte/rs12311093_count_position.png",4,220,900)</f>
        <v/>
      </c>
      <c r="T886">
        <f>IMAGE("https://mitra.stanford.edu/kundaje/oak/projects/neuro-variants/variant_position/credible/roussos_2024/variant_figures/roussos_2024.adolescence.Astrocyte/rs12311093_profile_position.png",4,220,900)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-0.0258583616</v>
      </c>
      <c r="G887" t="n">
        <v>0.4541976710515168</v>
      </c>
      <c r="H887" t="n">
        <v>0.0486065941745783</v>
      </c>
      <c r="I887" t="n">
        <v>0.0043735435651815</v>
      </c>
      <c r="J887" t="n">
        <v>0.0614752395929145</v>
      </c>
      <c r="K887" t="n">
        <v>0.4209551070655061</v>
      </c>
      <c r="L887" t="b">
        <v>1</v>
      </c>
      <c r="M887" t="b">
        <v>1</v>
      </c>
      <c r="N887" t="inlineStr">
        <is>
          <t>ref</t>
        </is>
      </c>
      <c r="O887" t="n">
        <v>-40</v>
      </c>
      <c r="P887" t="n">
        <v>0.00647</v>
      </c>
      <c r="Q887" t="n">
        <v>-25</v>
      </c>
      <c r="R887" t="n">
        <v>0.0958</v>
      </c>
      <c r="S887">
        <f>IMAGE("https://mitra.stanford.edu/kundaje/oak/projects/neuro-variants/variant_position/credible/roussos_2024/variant_figures/roussos_2024.adolescence.Astrocyte/rs12228118_count_position.png",4,220,900)</f>
        <v/>
      </c>
      <c r="T887">
        <f>IMAGE("https://mitra.stanford.edu/kundaje/oak/projects/neuro-variants/variant_position/credible/roussos_2024/variant_figures/roussos_2024.adolescence.Astrocyte/rs12228118_profile_position.png",4,220,900)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-0.1135604441999999</v>
      </c>
      <c r="G888" t="n">
        <v>0.06791264696969911</v>
      </c>
      <c r="H888" t="n">
        <v>0.0156455016739929</v>
      </c>
      <c r="I888" t="n">
        <v>0.2904944463701738</v>
      </c>
      <c r="J888" t="n">
        <v>0.0429501824763373</v>
      </c>
      <c r="K888" t="n">
        <v>0.4675047920059429</v>
      </c>
      <c r="L888" t="b">
        <v>0</v>
      </c>
      <c r="M888" t="b">
        <v>0</v>
      </c>
      <c r="N888" t="inlineStr">
        <is>
          <t>ref</t>
        </is>
      </c>
      <c r="O888" t="n">
        <v>-95</v>
      </c>
      <c r="P888" t="n">
        <v>0.12085</v>
      </c>
      <c r="Q888" t="n">
        <v>-95</v>
      </c>
      <c r="R888" t="n">
        <v>0.2996</v>
      </c>
      <c r="S888">
        <f>IMAGE("https://mitra.stanford.edu/kundaje/oak/projects/neuro-variants/variant_position/credible/roussos_2024/variant_figures/roussos_2024.adolescence.Astrocyte/rs78197988_count_position.png",4,220,900)</f>
        <v/>
      </c>
      <c r="T888">
        <f>IMAGE("https://mitra.stanford.edu/kundaje/oak/projects/neuro-variants/variant_position/credible/roussos_2024/variant_figures/roussos_2024.adolescence.Astrocyte/rs78197988_profile_position.png",4,220,900)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0.0360702846</v>
      </c>
      <c r="G889" t="n">
        <v>0.3304932616500496</v>
      </c>
      <c r="H889" t="n">
        <v>0.0558239117958421</v>
      </c>
      <c r="I889" t="n">
        <v>0.0025349167015162</v>
      </c>
      <c r="J889" t="n">
        <v>0.0560951547339999</v>
      </c>
      <c r="K889" t="n">
        <v>0.4188192348962134</v>
      </c>
      <c r="L889" t="b">
        <v>1</v>
      </c>
      <c r="M889" t="b">
        <v>1</v>
      </c>
      <c r="N889" t="inlineStr">
        <is>
          <t>alt</t>
        </is>
      </c>
      <c r="O889" t="n">
        <v>100</v>
      </c>
      <c r="P889" t="n">
        <v>0.053</v>
      </c>
      <c r="Q889" t="n">
        <v>-20</v>
      </c>
      <c r="R889" t="n">
        <v>0.02844</v>
      </c>
      <c r="S889">
        <f>IMAGE("https://mitra.stanford.edu/kundaje/oak/projects/neuro-variants/variant_position/credible/roussos_2024/variant_figures/roussos_2024.adolescence.Astrocyte/rs2243616_count_position.png",4,220,900)</f>
        <v/>
      </c>
      <c r="T889">
        <f>IMAGE("https://mitra.stanford.edu/kundaje/oak/projects/neuro-variants/variant_position/credible/roussos_2024/variant_figures/roussos_2024.adolescence.Astrocyte/rs2243616_profile_position.png",4,220,900)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-0.0248880162</v>
      </c>
      <c r="G890" t="n">
        <v>0.5023838593198129</v>
      </c>
      <c r="H890" t="n">
        <v>0.0323089187895195</v>
      </c>
      <c r="I890" t="n">
        <v>0.0233089186130288</v>
      </c>
      <c r="J890" t="n">
        <v>0.2636745987004124</v>
      </c>
      <c r="K890" t="n">
        <v>0.1574565000509628</v>
      </c>
      <c r="L890" t="b">
        <v>0</v>
      </c>
      <c r="M890" t="b">
        <v>0</v>
      </c>
      <c r="N890" t="inlineStr">
        <is>
          <t>ref</t>
        </is>
      </c>
      <c r="O890" t="n">
        <v>-90</v>
      </c>
      <c r="P890" t="n">
        <v>0.0442</v>
      </c>
      <c r="Q890" t="n">
        <v>80</v>
      </c>
      <c r="R890" t="n">
        <v>0.3823</v>
      </c>
      <c r="S890">
        <f>IMAGE("https://mitra.stanford.edu/kundaje/oak/projects/neuro-variants/variant_position/credible/roussos_2024/variant_figures/roussos_2024.adolescence.Astrocyte/rs1169314_count_position.png",4,220,900)</f>
        <v/>
      </c>
      <c r="T890">
        <f>IMAGE("https://mitra.stanford.edu/kundaje/oak/projects/neuro-variants/variant_position/credible/roussos_2024/variant_figures/roussos_2024.adolescence.Astrocyte/rs1169314_profile_position.png",4,220,900)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-0.056700745</v>
      </c>
      <c r="G891" t="n">
        <v>0.1329527100241752</v>
      </c>
      <c r="H891" t="n">
        <v>0.0187538116978551</v>
      </c>
      <c r="I891" t="n">
        <v>0.1848585289572513</v>
      </c>
      <c r="J891" t="n">
        <v>0.039357772305136</v>
      </c>
      <c r="K891" t="n">
        <v>0.4871153829904071</v>
      </c>
      <c r="L891" t="b">
        <v>0</v>
      </c>
      <c r="M891" t="b">
        <v>0</v>
      </c>
      <c r="N891" t="inlineStr">
        <is>
          <t>ref</t>
        </is>
      </c>
      <c r="O891" t="n">
        <v>85</v>
      </c>
      <c r="P891" t="n">
        <v>0.01377</v>
      </c>
      <c r="Q891" t="n">
        <v>0</v>
      </c>
      <c r="R891" t="n">
        <v>0</v>
      </c>
      <c r="S891">
        <f>IMAGE("https://mitra.stanford.edu/kundaje/oak/projects/neuro-variants/variant_position/credible/roussos_2024/variant_figures/roussos_2024.adolescence.Astrocyte/rs2264750_count_position.png",4,220,900)</f>
        <v/>
      </c>
      <c r="T891">
        <f>IMAGE("https://mitra.stanford.edu/kundaje/oak/projects/neuro-variants/variant_position/credible/roussos_2024/variant_figures/roussos_2024.adolescence.Astrocyte/rs2264750_profile_position.png",4,220,900)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0.1446311511999999</v>
      </c>
      <c r="G892" t="n">
        <v>0.0398678603164109</v>
      </c>
      <c r="H892" t="n">
        <v>0.017304337974432</v>
      </c>
      <c r="I892" t="n">
        <v>0.2163028600050696</v>
      </c>
      <c r="J892" t="n">
        <v>0.1517854493665252</v>
      </c>
      <c r="K892" t="n">
        <v>0.2574251532625065</v>
      </c>
      <c r="L892" t="b">
        <v>0</v>
      </c>
      <c r="M892" t="b">
        <v>0</v>
      </c>
      <c r="N892" t="inlineStr">
        <is>
          <t>alt</t>
        </is>
      </c>
      <c r="O892" t="n">
        <v>100</v>
      </c>
      <c r="P892" t="n">
        <v>0.0243</v>
      </c>
      <c r="Q892" t="n">
        <v>100</v>
      </c>
      <c r="R892" t="n">
        <v>0.1304</v>
      </c>
      <c r="S892">
        <f>IMAGE("https://mitra.stanford.edu/kundaje/oak/projects/neuro-variants/variant_position/credible/roussos_2024/variant_figures/roussos_2024.adolescence.Astrocyte/rs2686345_count_position.png",4,220,900)</f>
        <v/>
      </c>
      <c r="T892">
        <f>IMAGE("https://mitra.stanford.edu/kundaje/oak/projects/neuro-variants/variant_position/credible/roussos_2024/variant_figures/roussos_2024.adolescence.Astrocyte/rs2686345_profile_position.png",4,220,900)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-0.1384601028</v>
      </c>
      <c r="G893" t="n">
        <v>0.0439932671186872</v>
      </c>
      <c r="H893" t="n">
        <v>0.0163064867972561</v>
      </c>
      <c r="I893" t="n">
        <v>0.2554160167449985</v>
      </c>
      <c r="J893" t="n">
        <v>0.0267149808622377</v>
      </c>
      <c r="K893" t="n">
        <v>0.5303032880753473</v>
      </c>
      <c r="L893" t="b">
        <v>0</v>
      </c>
      <c r="M893" t="b">
        <v>0</v>
      </c>
      <c r="N893" t="inlineStr">
        <is>
          <t>ref</t>
        </is>
      </c>
      <c r="O893" t="n">
        <v>65</v>
      </c>
      <c r="P893" t="n">
        <v>0.055</v>
      </c>
      <c r="Q893" t="n">
        <v>55</v>
      </c>
      <c r="R893" t="n">
        <v>0.2255</v>
      </c>
      <c r="S893">
        <f>IMAGE("https://mitra.stanford.edu/kundaje/oak/projects/neuro-variants/variant_position/credible/roussos_2024/variant_figures/roussos_2024.adolescence.Astrocyte/rs76170072_count_position.png",4,220,900)</f>
        <v/>
      </c>
      <c r="T893">
        <f>IMAGE("https://mitra.stanford.edu/kundaje/oak/projects/neuro-variants/variant_position/credible/roussos_2024/variant_figures/roussos_2024.adolescence.Astrocyte/rs76170072_profile_position.png",4,220,900)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0.0441895313999999</v>
      </c>
      <c r="G894" t="n">
        <v>0.2601572390391103</v>
      </c>
      <c r="H894" t="n">
        <v>0.0134293647175738</v>
      </c>
      <c r="I894" t="n">
        <v>0.4318184695774716</v>
      </c>
      <c r="J894" t="n">
        <v>0.002223837640566</v>
      </c>
      <c r="K894" t="n">
        <v>0.8289851670265983</v>
      </c>
      <c r="L894" t="b">
        <v>0</v>
      </c>
      <c r="M894" t="b">
        <v>0</v>
      </c>
      <c r="N894" t="inlineStr">
        <is>
          <t>alt</t>
        </is>
      </c>
      <c r="O894" t="n">
        <v>5</v>
      </c>
      <c r="P894" t="n">
        <v>0.001953</v>
      </c>
      <c r="Q894" t="n">
        <v>25</v>
      </c>
      <c r="R894" t="n">
        <v>0.0155</v>
      </c>
      <c r="S894">
        <f>IMAGE("https://mitra.stanford.edu/kundaje/oak/projects/neuro-variants/variant_position/credible/roussos_2024/variant_figures/roussos_2024.adolescence.Astrocyte/rs61697335_count_position.png",4,220,900)</f>
        <v/>
      </c>
      <c r="T894">
        <f>IMAGE("https://mitra.stanford.edu/kundaje/oak/projects/neuro-variants/variant_position/credible/roussos_2024/variant_figures/roussos_2024.adolescence.Astrocyte/rs61697335_profile_position.png",4,220,900)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-0.0012501552</v>
      </c>
      <c r="G895" t="n">
        <v>0.8389223253214294</v>
      </c>
      <c r="H895" t="n">
        <v>0.0312660320893347</v>
      </c>
      <c r="I895" t="n">
        <v>0.0262970566050908</v>
      </c>
      <c r="J895" t="n">
        <v>0.0883200308577871</v>
      </c>
      <c r="K895" t="n">
        <v>0.3429774971733426</v>
      </c>
      <c r="L895" t="b">
        <v>0</v>
      </c>
      <c r="M895" t="b">
        <v>0</v>
      </c>
      <c r="N895" t="inlineStr">
        <is>
          <t>ref</t>
        </is>
      </c>
      <c r="O895" t="n">
        <v>-95</v>
      </c>
      <c r="P895" t="n">
        <v>0.00769</v>
      </c>
      <c r="Q895" t="n">
        <v>-70</v>
      </c>
      <c r="R895" t="n">
        <v>0.1752</v>
      </c>
      <c r="S895">
        <f>IMAGE("https://mitra.stanford.edu/kundaje/oak/projects/neuro-variants/variant_position/credible/roussos_2024/variant_figures/roussos_2024.adolescence.Astrocyte/rs11830307_count_position.png",4,220,900)</f>
        <v/>
      </c>
      <c r="T895">
        <f>IMAGE("https://mitra.stanford.edu/kundaje/oak/projects/neuro-variants/variant_position/credible/roussos_2024/variant_figures/roussos_2024.adolescence.Astrocyte/rs11830307_profile_position.png",4,220,900)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-0.1719535068</v>
      </c>
      <c r="G896" t="n">
        <v>0.03585958907583</v>
      </c>
      <c r="H896" t="n">
        <v>0.043876156011809</v>
      </c>
      <c r="I896" t="n">
        <v>0.0081657142939129</v>
      </c>
      <c r="J896" t="n">
        <v>0.0190813874135833</v>
      </c>
      <c r="K896" t="n">
        <v>0.5761150969880267</v>
      </c>
      <c r="L896" t="b">
        <v>1</v>
      </c>
      <c r="M896" t="b">
        <v>0</v>
      </c>
      <c r="N896" t="inlineStr">
        <is>
          <t>ref</t>
        </is>
      </c>
      <c r="O896" t="n">
        <v>-5</v>
      </c>
      <c r="P896" t="n">
        <v>0.001465</v>
      </c>
      <c r="Q896" t="n">
        <v>100</v>
      </c>
      <c r="R896" t="n">
        <v>0.1736</v>
      </c>
      <c r="S896">
        <f>IMAGE("https://mitra.stanford.edu/kundaje/oak/projects/neuro-variants/variant_position/credible/roussos_2024/variant_figures/roussos_2024.adolescence.Astrocyte/rs59199848_count_position.png",4,220,900)</f>
        <v/>
      </c>
      <c r="T896">
        <f>IMAGE("https://mitra.stanford.edu/kundaje/oak/projects/neuro-variants/variant_position/credible/roussos_2024/variant_figures/roussos_2024.adolescence.Astrocyte/rs59199848_profile_position.png",4,220,900)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0.01161533712</v>
      </c>
      <c r="G897" t="n">
        <v>0.6989085562197161</v>
      </c>
      <c r="H897" t="n">
        <v>0.008216646467306399</v>
      </c>
      <c r="I897" t="n">
        <v>0.9125830230065274</v>
      </c>
      <c r="J897" t="n">
        <v>0.0337232590570571</v>
      </c>
      <c r="K897" t="n">
        <v>0.502710397857554</v>
      </c>
      <c r="L897" t="b">
        <v>0</v>
      </c>
      <c r="M897" t="b">
        <v>0</v>
      </c>
      <c r="N897" t="inlineStr">
        <is>
          <t>alt</t>
        </is>
      </c>
      <c r="O897" t="n">
        <v>-80</v>
      </c>
      <c r="P897" t="n">
        <v>0.00874</v>
      </c>
      <c r="Q897" t="n">
        <v>85</v>
      </c>
      <c r="R897" t="n">
        <v>0.3247</v>
      </c>
      <c r="S897">
        <f>IMAGE("https://mitra.stanford.edu/kundaje/oak/projects/neuro-variants/variant_position/credible/roussos_2024/variant_figures/roussos_2024.adolescence.Astrocyte/rs3751135_count_position.png",4,220,900)</f>
        <v/>
      </c>
      <c r="T897">
        <f>IMAGE("https://mitra.stanford.edu/kundaje/oak/projects/neuro-variants/variant_position/credible/roussos_2024/variant_figures/roussos_2024.adolescence.Astrocyte/rs3751135_profile_position.png",4,220,900)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0.0521320444</v>
      </c>
      <c r="G898" t="n">
        <v>0.2177451083892864</v>
      </c>
      <c r="H898" t="n">
        <v>0.0144222266424268</v>
      </c>
      <c r="I898" t="n">
        <v>0.3612956138299135</v>
      </c>
      <c r="J898" t="n">
        <v>0.1826684568139334</v>
      </c>
      <c r="K898" t="n">
        <v>0.2180156630102609</v>
      </c>
      <c r="L898" t="b">
        <v>0</v>
      </c>
      <c r="M898" t="b">
        <v>0</v>
      </c>
      <c r="N898" t="inlineStr">
        <is>
          <t>alt</t>
        </is>
      </c>
      <c r="O898" t="n">
        <v>100</v>
      </c>
      <c r="P898" t="n">
        <v>0.004265</v>
      </c>
      <c r="Q898" t="n">
        <v>85</v>
      </c>
      <c r="R898" t="n">
        <v>0.0968</v>
      </c>
      <c r="S898">
        <f>IMAGE("https://mitra.stanford.edu/kundaje/oak/projects/neuro-variants/variant_position/credible/roussos_2024/variant_figures/roussos_2024.adolescence.Astrocyte/rs79741351_count_position.png",4,220,900)</f>
        <v/>
      </c>
      <c r="T898">
        <f>IMAGE("https://mitra.stanford.edu/kundaje/oak/projects/neuro-variants/variant_position/credible/roussos_2024/variant_figures/roussos_2024.adolescence.Astrocyte/rs79741351_profile_position.png",4,220,900)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-0.02582305513484</v>
      </c>
      <c r="G899" t="n">
        <v>0.5074182378458106</v>
      </c>
      <c r="H899" t="n">
        <v>0.0168675281125087</v>
      </c>
      <c r="I899" t="n">
        <v>0.2459300790740586</v>
      </c>
      <c r="J899" t="n">
        <v>0.1052651099308666</v>
      </c>
      <c r="K899" t="n">
        <v>0.3125055166740738</v>
      </c>
      <c r="L899" t="b">
        <v>0</v>
      </c>
      <c r="M899" t="b">
        <v>0</v>
      </c>
      <c r="N899" t="inlineStr">
        <is>
          <t>ref</t>
        </is>
      </c>
      <c r="O899" t="n">
        <v>55</v>
      </c>
      <c r="P899" t="n">
        <v>0.00437</v>
      </c>
      <c r="Q899" t="n">
        <v>-45</v>
      </c>
      <c r="R899" t="n">
        <v>0.0672</v>
      </c>
      <c r="S899">
        <f>IMAGE("https://mitra.stanford.edu/kundaje/oak/projects/neuro-variants/variant_position/credible/roussos_2024/variant_figures/roussos_2024.adolescence.Astrocyte/rs13754_count_position.png",4,220,900)</f>
        <v/>
      </c>
      <c r="T899">
        <f>IMAGE("https://mitra.stanford.edu/kundaje/oak/projects/neuro-variants/variant_position/credible/roussos_2024/variant_figures/roussos_2024.adolescence.Astrocyte/rs13754_profile_position.png",4,220,900)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-0.0477015782</v>
      </c>
      <c r="G900" t="n">
        <v>0.261929535063702</v>
      </c>
      <c r="H900" t="n">
        <v>0.0151849322805238</v>
      </c>
      <c r="I900" t="n">
        <v>0.313045479660935</v>
      </c>
      <c r="J900" t="n">
        <v>0.0750563748034299</v>
      </c>
      <c r="K900" t="n">
        <v>0.3883745637155013</v>
      </c>
      <c r="L900" t="b">
        <v>0</v>
      </c>
      <c r="M900" t="b">
        <v>0</v>
      </c>
      <c r="N900" t="inlineStr">
        <is>
          <t>ref</t>
        </is>
      </c>
      <c r="O900" t="n">
        <v>-55</v>
      </c>
      <c r="P900" t="n">
        <v>0.007416</v>
      </c>
      <c r="Q900" t="n">
        <v>-80</v>
      </c>
      <c r="R900" t="n">
        <v>0.2698</v>
      </c>
      <c r="S900">
        <f>IMAGE("https://mitra.stanford.edu/kundaje/oak/projects/neuro-variants/variant_position/credible/roussos_2024/variant_figures/roussos_2024.adolescence.Astrocyte/rs111782135_count_position.png",4,220,900)</f>
        <v/>
      </c>
      <c r="T900">
        <f>IMAGE("https://mitra.stanford.edu/kundaje/oak/projects/neuro-variants/variant_position/credible/roussos_2024/variant_figures/roussos_2024.adolescence.Astrocyte/rs111782135_profile_position.png",4,220,900)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-0.0686644778</v>
      </c>
      <c r="G901" t="n">
        <v>0.1543604097230234</v>
      </c>
      <c r="H901" t="n">
        <v>0.0157868173678913</v>
      </c>
      <c r="I901" t="n">
        <v>0.2824345556569468</v>
      </c>
      <c r="J901" t="n">
        <v>0.008110553956621001</v>
      </c>
      <c r="K901" t="n">
        <v>0.6939521219187036</v>
      </c>
      <c r="L901" t="b">
        <v>0</v>
      </c>
      <c r="M901" t="b">
        <v>0</v>
      </c>
      <c r="N901" t="inlineStr">
        <is>
          <t>ref</t>
        </is>
      </c>
      <c r="O901" t="n">
        <v>5</v>
      </c>
      <c r="P901" t="n">
        <v>0.0002594</v>
      </c>
      <c r="Q901" t="n">
        <v>65</v>
      </c>
      <c r="R901" t="n">
        <v>0.0385</v>
      </c>
      <c r="S901">
        <f>IMAGE("https://mitra.stanford.edu/kundaje/oak/projects/neuro-variants/variant_position/credible/roussos_2024/variant_figures/roussos_2024.adolescence.Astrocyte/rs74543852_count_position.png",4,220,900)</f>
        <v/>
      </c>
      <c r="T901">
        <f>IMAGE("https://mitra.stanford.edu/kundaje/oak/projects/neuro-variants/variant_position/credible/roussos_2024/variant_figures/roussos_2024.adolescence.Astrocyte/rs74543852_profile_position.png",4,220,900)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0.00239984926</v>
      </c>
      <c r="G902" t="n">
        <v>0.6295014122897779</v>
      </c>
      <c r="H902" t="n">
        <v>0.0112236369936997</v>
      </c>
      <c r="I902" t="n">
        <v>0.6328407187018237</v>
      </c>
      <c r="J902" t="n">
        <v>0.251587395780791</v>
      </c>
      <c r="K902" t="n">
        <v>0.1640424123179014</v>
      </c>
      <c r="L902" t="b">
        <v>0</v>
      </c>
      <c r="M902" t="b">
        <v>0</v>
      </c>
      <c r="N902" t="inlineStr">
        <is>
          <t>alt</t>
        </is>
      </c>
      <c r="O902" t="n">
        <v>45</v>
      </c>
      <c r="P902" t="n">
        <v>0.0337</v>
      </c>
      <c r="Q902" t="n">
        <v>-15</v>
      </c>
      <c r="R902" t="n">
        <v>0.01428</v>
      </c>
      <c r="S902">
        <f>IMAGE("https://mitra.stanford.edu/kundaje/oak/projects/neuro-variants/variant_position/credible/roussos_2024/variant_figures/roussos_2024.adolescence.Astrocyte/rs34974633_count_position.png",4,220,900)</f>
        <v/>
      </c>
      <c r="T902">
        <f>IMAGE("https://mitra.stanford.edu/kundaje/oak/projects/neuro-variants/variant_position/credible/roussos_2024/variant_figures/roussos_2024.adolescence.Astrocyte/rs34974633_profile_position.png",4,220,900)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0.00294357935</v>
      </c>
      <c r="G903" t="n">
        <v>0.9036735000837774</v>
      </c>
      <c r="H903" t="n">
        <v>0.0330298819353543</v>
      </c>
      <c r="I903" t="n">
        <v>0.0211939913544761</v>
      </c>
      <c r="J903" t="n">
        <v>0.0364997181259827</v>
      </c>
      <c r="K903" t="n">
        <v>0.4885091059727094</v>
      </c>
      <c r="L903" t="b">
        <v>0</v>
      </c>
      <c r="M903" t="b">
        <v>0</v>
      </c>
      <c r="N903" t="inlineStr">
        <is>
          <t>alt</t>
        </is>
      </c>
      <c r="O903" t="n">
        <v>100</v>
      </c>
      <c r="P903" t="n">
        <v>0.01614</v>
      </c>
      <c r="Q903" t="n">
        <v>50</v>
      </c>
      <c r="R903" t="n">
        <v>0.0725</v>
      </c>
      <c r="S903">
        <f>IMAGE("https://mitra.stanford.edu/kundaje/oak/projects/neuro-variants/variant_position/credible/roussos_2024/variant_figures/roussos_2024.adolescence.Astrocyte/rs61952902_count_position.png",4,220,900)</f>
        <v/>
      </c>
      <c r="T903">
        <f>IMAGE("https://mitra.stanford.edu/kundaje/oak/projects/neuro-variants/variant_position/credible/roussos_2024/variant_figures/roussos_2024.adolescence.Astrocyte/rs61952902_profile_position.png",4,220,900)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-0.290092946</v>
      </c>
      <c r="G904" t="n">
        <v>0.0070057172899299</v>
      </c>
      <c r="H904" t="n">
        <v>0.0316613448821777</v>
      </c>
      <c r="I904" t="n">
        <v>0.0266031992768977</v>
      </c>
      <c r="J904" t="n">
        <v>0.6803481885885529</v>
      </c>
      <c r="K904" t="n">
        <v>0.020844202248737</v>
      </c>
      <c r="L904" t="b">
        <v>1</v>
      </c>
      <c r="M904" t="b">
        <v>1</v>
      </c>
      <c r="N904" t="inlineStr">
        <is>
          <t>ref</t>
        </is>
      </c>
      <c r="O904" t="n">
        <v>10</v>
      </c>
      <c r="P904" t="n">
        <v>0.003723</v>
      </c>
      <c r="Q904" t="n">
        <v>10</v>
      </c>
      <c r="R904" t="n">
        <v>0.0581</v>
      </c>
      <c r="S904">
        <f>IMAGE("https://mitra.stanford.edu/kundaje/oak/projects/neuro-variants/variant_position/credible/roussos_2024/variant_figures/roussos_2024.adolescence.Astrocyte/rs36167334_count_position.png",4,220,900)</f>
        <v/>
      </c>
      <c r="T904">
        <f>IMAGE("https://mitra.stanford.edu/kundaje/oak/projects/neuro-variants/variant_position/credible/roussos_2024/variant_figures/roussos_2024.adolescence.Astrocyte/rs36167334_profile_position.png",4,220,900)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0.00478174522</v>
      </c>
      <c r="G905" t="n">
        <v>0.6233114623622477</v>
      </c>
      <c r="H905" t="n">
        <v>0.0673759819455351</v>
      </c>
      <c r="I905" t="n">
        <v>0.0012836355947357</v>
      </c>
      <c r="J905" t="n">
        <v>0.0684338189478681</v>
      </c>
      <c r="K905" t="n">
        <v>0.3918199174850318</v>
      </c>
      <c r="L905" t="b">
        <v>1</v>
      </c>
      <c r="M905" t="b">
        <v>1</v>
      </c>
      <c r="N905" t="inlineStr">
        <is>
          <t>alt</t>
        </is>
      </c>
      <c r="O905" t="n">
        <v>-80</v>
      </c>
      <c r="P905" t="n">
        <v>0.0105</v>
      </c>
      <c r="Q905" t="n">
        <v>-80</v>
      </c>
      <c r="R905" t="n">
        <v>0.1641</v>
      </c>
      <c r="S905">
        <f>IMAGE("https://mitra.stanford.edu/kundaje/oak/projects/neuro-variants/variant_position/credible/roussos_2024/variant_figures/roussos_2024.adolescence.Astrocyte/rs146055085_count_position.png",4,220,900)</f>
        <v/>
      </c>
      <c r="T905">
        <f>IMAGE("https://mitra.stanford.edu/kundaje/oak/projects/neuro-variants/variant_position/credible/roussos_2024/variant_figures/roussos_2024.adolescence.Astrocyte/rs146055085_profile_position.png",4,220,900)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0.1103234076</v>
      </c>
      <c r="G906" t="n">
        <v>0.0593940589457229</v>
      </c>
      <c r="H906" t="n">
        <v>0.0196387788734718</v>
      </c>
      <c r="I906" t="n">
        <v>0.1495272477496887</v>
      </c>
      <c r="J906" t="n">
        <v>0.4537162863840014</v>
      </c>
      <c r="K906" t="n">
        <v>0.0697466779748153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0.06274</v>
      </c>
      <c r="Q906" t="n">
        <v>-50</v>
      </c>
      <c r="R906" t="n">
        <v>0.1859</v>
      </c>
      <c r="S906">
        <f>IMAGE("https://mitra.stanford.edu/kundaje/oak/projects/neuro-variants/variant_position/credible/roussos_2024/variant_figures/roussos_2024.adolescence.Astrocyte/rs373281699_count_position.png",4,220,900)</f>
        <v/>
      </c>
      <c r="T906">
        <f>IMAGE("https://mitra.stanford.edu/kundaje/oak/projects/neuro-variants/variant_position/credible/roussos_2024/variant_figures/roussos_2024.adolescence.Astrocyte/rs373281699_profile_position.png",4,220,900)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-0.0312577492</v>
      </c>
      <c r="G907" t="n">
        <v>0.4015298628871146</v>
      </c>
      <c r="H907" t="n">
        <v>0.0498572636977858</v>
      </c>
      <c r="I907" t="n">
        <v>0.0040181777473609</v>
      </c>
      <c r="J907" t="n">
        <v>0.0124261935139304</v>
      </c>
      <c r="K907" t="n">
        <v>0.6470219056920889</v>
      </c>
      <c r="L907" t="b">
        <v>1</v>
      </c>
      <c r="M907" t="b">
        <v>0</v>
      </c>
      <c r="N907" t="inlineStr">
        <is>
          <t>ref</t>
        </is>
      </c>
      <c r="O907" t="n">
        <v>-25</v>
      </c>
      <c r="P907" t="n">
        <v>0.0883</v>
      </c>
      <c r="Q907" t="n">
        <v>100</v>
      </c>
      <c r="R907" t="n">
        <v>0.103</v>
      </c>
      <c r="S907">
        <f>IMAGE("https://mitra.stanford.edu/kundaje/oak/projects/neuro-variants/variant_position/credible/roussos_2024/variant_figures/roussos_2024.adolescence.Astrocyte/rs374837345_count_position.png",4,220,900)</f>
        <v/>
      </c>
      <c r="T907">
        <f>IMAGE("https://mitra.stanford.edu/kundaje/oak/projects/neuro-variants/variant_position/credible/roussos_2024/variant_figures/roussos_2024.adolescence.Astrocyte/rs374837345_profile_position.png",4,220,900)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0.01658672588</v>
      </c>
      <c r="G908" t="n">
        <v>0.5920089401915893</v>
      </c>
      <c r="H908" t="n">
        <v>0.0154199740019809</v>
      </c>
      <c r="I908" t="n">
        <v>0.3001571656810743</v>
      </c>
      <c r="J908" t="n">
        <v>0.0644616206272438</v>
      </c>
      <c r="K908" t="n">
        <v>0.402727286782861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0.004593</v>
      </c>
      <c r="Q908" t="n">
        <v>-100</v>
      </c>
      <c r="R908" t="n">
        <v>0.08</v>
      </c>
      <c r="S908">
        <f>IMAGE("https://mitra.stanford.edu/kundaje/oak/projects/neuro-variants/variant_position/credible/roussos_2024/variant_figures/roussos_2024.adolescence.Astrocyte/rs28421373_count_position.png",4,220,900)</f>
        <v/>
      </c>
      <c r="T908">
        <f>IMAGE("https://mitra.stanford.edu/kundaje/oak/projects/neuro-variants/variant_position/credible/roussos_2024/variant_figures/roussos_2024.adolescence.Astrocyte/rs28421373_profile_position.png",4,220,900)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-0.0395159928</v>
      </c>
      <c r="G909" t="n">
        <v>0.3313593670123902</v>
      </c>
      <c r="H909" t="n">
        <v>0.0130426654647542</v>
      </c>
      <c r="I909" t="n">
        <v>0.4633951815892966</v>
      </c>
      <c r="J909" t="n">
        <v>0.0209150520725157</v>
      </c>
      <c r="K909" t="n">
        <v>0.5738919507663319</v>
      </c>
      <c r="L909" t="b">
        <v>0</v>
      </c>
      <c r="M909" t="b">
        <v>0</v>
      </c>
      <c r="N909" t="inlineStr">
        <is>
          <t>ref</t>
        </is>
      </c>
      <c r="O909" t="n">
        <v>-100</v>
      </c>
      <c r="P909" t="n">
        <v>0.00559</v>
      </c>
      <c r="Q909" t="n">
        <v>-25</v>
      </c>
      <c r="R909" t="n">
        <v>0.146</v>
      </c>
      <c r="S909">
        <f>IMAGE("https://mitra.stanford.edu/kundaje/oak/projects/neuro-variants/variant_position/credible/roussos_2024/variant_figures/roussos_2024.adolescence.Astrocyte/rs28430881_count_position.png",4,220,900)</f>
        <v/>
      </c>
      <c r="T909">
        <f>IMAGE("https://mitra.stanford.edu/kundaje/oak/projects/neuro-variants/variant_position/credible/roussos_2024/variant_figures/roussos_2024.adolescence.Astrocyte/rs28430881_profile_position.png",4,220,900)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-0.0359662622</v>
      </c>
      <c r="G910" t="n">
        <v>0.3532989664669613</v>
      </c>
      <c r="H910" t="n">
        <v>0.0395244699801837</v>
      </c>
      <c r="I910" t="n">
        <v>0.0106816060368797</v>
      </c>
      <c r="J910" t="n">
        <v>0.0107742634186867</v>
      </c>
      <c r="K910" t="n">
        <v>0.6842474355678131</v>
      </c>
      <c r="L910" t="b">
        <v>1</v>
      </c>
      <c r="M910" t="b">
        <v>0</v>
      </c>
      <c r="N910" t="inlineStr">
        <is>
          <t>ref</t>
        </is>
      </c>
      <c r="O910" t="n">
        <v>-35</v>
      </c>
      <c r="P910" t="n">
        <v>0.0009613</v>
      </c>
      <c r="Q910" t="n">
        <v>100</v>
      </c>
      <c r="R910" t="n">
        <v>0.0786</v>
      </c>
      <c r="S910">
        <f>IMAGE("https://mitra.stanford.edu/kundaje/oak/projects/neuro-variants/variant_position/credible/roussos_2024/variant_figures/roussos_2024.adolescence.Astrocyte/rs28498376_count_position.png",4,220,900)</f>
        <v/>
      </c>
      <c r="T910">
        <f>IMAGE("https://mitra.stanford.edu/kundaje/oak/projects/neuro-variants/variant_position/credible/roussos_2024/variant_figures/roussos_2024.adolescence.Astrocyte/rs28498376_profile_position.png",4,220,900)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-0.003991090506</v>
      </c>
      <c r="G911" t="n">
        <v>0.7751220556417977</v>
      </c>
      <c r="H911" t="n">
        <v>0.008176031732140701</v>
      </c>
      <c r="I911" t="n">
        <v>0.9043081574616342</v>
      </c>
      <c r="J911" t="n">
        <v>0.4139698246446903</v>
      </c>
      <c r="K911" t="n">
        <v>0.08329484914533559</v>
      </c>
      <c r="L911" t="b">
        <v>0</v>
      </c>
      <c r="M911" t="b">
        <v>0</v>
      </c>
      <c r="N911" t="inlineStr">
        <is>
          <t>ref</t>
        </is>
      </c>
      <c r="O911" t="n">
        <v>-5</v>
      </c>
      <c r="P911" t="n">
        <v>0.003246</v>
      </c>
      <c r="Q911" t="n">
        <v>95</v>
      </c>
      <c r="R911" t="n">
        <v>0.2239</v>
      </c>
      <c r="S911">
        <f>IMAGE("https://mitra.stanford.edu/kundaje/oak/projects/neuro-variants/variant_position/credible/roussos_2024/variant_figures/roussos_2024.adolescence.Astrocyte/rs28478366_count_position.png",4,220,900)</f>
        <v/>
      </c>
      <c r="T911">
        <f>IMAGE("https://mitra.stanford.edu/kundaje/oak/projects/neuro-variants/variant_position/credible/roussos_2024/variant_figures/roussos_2024.adolescence.Astrocyte/rs28478366_profile_position.png",4,220,900)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-0.115178202</v>
      </c>
      <c r="G912" t="n">
        <v>0.0620574695638297</v>
      </c>
      <c r="H912" t="n">
        <v>0.0154627767218523</v>
      </c>
      <c r="I912" t="n">
        <v>0.3094361285449353</v>
      </c>
      <c r="J912" t="n">
        <v>0.3077596949826425</v>
      </c>
      <c r="K912" t="n">
        <v>0.1305917726802467</v>
      </c>
      <c r="L912" t="b">
        <v>0</v>
      </c>
      <c r="M912" t="b">
        <v>0</v>
      </c>
      <c r="N912" t="inlineStr">
        <is>
          <t>ref</t>
        </is>
      </c>
      <c r="O912" t="n">
        <v>55</v>
      </c>
      <c r="P912" t="n">
        <v>0.004498</v>
      </c>
      <c r="Q912" t="n">
        <v>90</v>
      </c>
      <c r="R912" t="n">
        <v>0.021</v>
      </c>
      <c r="S912">
        <f>IMAGE("https://mitra.stanford.edu/kundaje/oak/projects/neuro-variants/variant_position/credible/roussos_2024/variant_figures/roussos_2024.adolescence.Astrocyte/rs11059094_count_position.png",4,220,900)</f>
        <v/>
      </c>
      <c r="T912">
        <f>IMAGE("https://mitra.stanford.edu/kundaje/oak/projects/neuro-variants/variant_position/credible/roussos_2024/variant_figures/roussos_2024.adolescence.Astrocyte/rs11059094_profile_position.png",4,220,900)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-0.01631448424</v>
      </c>
      <c r="G913" t="n">
        <v>0.452449638256152</v>
      </c>
      <c r="H913" t="n">
        <v>0.0129163640297292</v>
      </c>
      <c r="I913" t="n">
        <v>0.4714926804320357</v>
      </c>
      <c r="J913" t="n">
        <v>0.4761045010829896</v>
      </c>
      <c r="K913" t="n">
        <v>0.06295074246046529</v>
      </c>
      <c r="L913" t="b">
        <v>0</v>
      </c>
      <c r="M913" t="b">
        <v>0</v>
      </c>
      <c r="N913" t="inlineStr">
        <is>
          <t>ref</t>
        </is>
      </c>
      <c r="O913" t="n">
        <v>-100</v>
      </c>
      <c r="P913" t="n">
        <v>0.01064</v>
      </c>
      <c r="Q913" t="n">
        <v>100</v>
      </c>
      <c r="R913" t="n">
        <v>0.02399</v>
      </c>
      <c r="S913">
        <f>IMAGE("https://mitra.stanford.edu/kundaje/oak/projects/neuro-variants/variant_position/credible/roussos_2024/variant_figures/roussos_2024.adolescence.Astrocyte/rs11609875_count_position.png",4,220,900)</f>
        <v/>
      </c>
      <c r="T913">
        <f>IMAGE("https://mitra.stanford.edu/kundaje/oak/projects/neuro-variants/variant_position/credible/roussos_2024/variant_figures/roussos_2024.adolescence.Astrocyte/rs11609875_profile_position.png",4,220,900)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-0.0088868281599999</v>
      </c>
      <c r="G914" t="n">
        <v>0.5333447198200257</v>
      </c>
      <c r="H914" t="n">
        <v>0.011997079683544</v>
      </c>
      <c r="I914" t="n">
        <v>0.5532341720392538</v>
      </c>
      <c r="J914" t="n">
        <v>0.2101890039462361</v>
      </c>
      <c r="K914" t="n">
        <v>0.1971190695157516</v>
      </c>
      <c r="L914" t="b">
        <v>0</v>
      </c>
      <c r="M914" t="b">
        <v>0</v>
      </c>
      <c r="N914" t="inlineStr">
        <is>
          <t>ref</t>
        </is>
      </c>
      <c r="O914" t="n">
        <v>100</v>
      </c>
      <c r="P914" t="n">
        <v>0.04138</v>
      </c>
      <c r="Q914" t="n">
        <v>-100</v>
      </c>
      <c r="R914" t="n">
        <v>0.2045</v>
      </c>
      <c r="S914">
        <f>IMAGE("https://mitra.stanford.edu/kundaje/oak/projects/neuro-variants/variant_position/credible/roussos_2024/variant_figures/roussos_2024.adolescence.Astrocyte/rs11057905_count_position.png",4,220,900)</f>
        <v/>
      </c>
      <c r="T914">
        <f>IMAGE("https://mitra.stanford.edu/kundaje/oak/projects/neuro-variants/variant_position/credible/roussos_2024/variant_figures/roussos_2024.adolescence.Astrocyte/rs11057905_profile_position.png",4,220,900)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-0.1233554947999999</v>
      </c>
      <c r="G915" t="n">
        <v>0.0541916878151947</v>
      </c>
      <c r="H915" t="n">
        <v>0.0190665411065521</v>
      </c>
      <c r="I915" t="n">
        <v>0.166563103144007</v>
      </c>
      <c r="J915" t="n">
        <v>0.0903880960151914</v>
      </c>
      <c r="K915" t="n">
        <v>0.344478854927593</v>
      </c>
      <c r="L915" t="b">
        <v>0</v>
      </c>
      <c r="M915" t="b">
        <v>0</v>
      </c>
      <c r="N915" t="inlineStr">
        <is>
          <t>ref</t>
        </is>
      </c>
      <c r="O915" t="n">
        <v>35</v>
      </c>
      <c r="P915" t="n">
        <v>0.003784</v>
      </c>
      <c r="Q915" t="n">
        <v>-15</v>
      </c>
      <c r="R915" t="n">
        <v>0.00757</v>
      </c>
      <c r="S915">
        <f>IMAGE("https://mitra.stanford.edu/kundaje/oak/projects/neuro-variants/variant_position/credible/roussos_2024/variant_figures/roussos_2024.adolescence.Astrocyte/rs114490539_count_position.png",4,220,900)</f>
        <v/>
      </c>
      <c r="T915">
        <f>IMAGE("https://mitra.stanford.edu/kundaje/oak/projects/neuro-variants/variant_position/credible/roussos_2024/variant_figures/roussos_2024.adolescence.Astrocyte/rs114490539_profile_position.png",4,220,900)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0.01211921994</v>
      </c>
      <c r="G916" t="n">
        <v>0.6953738914976325</v>
      </c>
      <c r="H916" t="n">
        <v>0.0102355040651853</v>
      </c>
      <c r="I916" t="n">
        <v>0.7240905722295322</v>
      </c>
      <c r="J916" t="n">
        <v>0.1778090971130165</v>
      </c>
      <c r="K916" t="n">
        <v>0.2250287006573182</v>
      </c>
      <c r="L916" t="b">
        <v>0</v>
      </c>
      <c r="M916" t="b">
        <v>0</v>
      </c>
      <c r="N916" t="inlineStr">
        <is>
          <t>alt</t>
        </is>
      </c>
      <c r="O916" t="n">
        <v>-75</v>
      </c>
      <c r="P916" t="n">
        <v>0.0354</v>
      </c>
      <c r="Q916" t="n">
        <v>-100</v>
      </c>
      <c r="R916" t="n">
        <v>0.064</v>
      </c>
      <c r="S916">
        <f>IMAGE("https://mitra.stanford.edu/kundaje/oak/projects/neuro-variants/variant_position/credible/roussos_2024/variant_figures/roussos_2024.adolescence.Astrocyte/rs4758691_count_position.png",4,220,900)</f>
        <v/>
      </c>
      <c r="T916">
        <f>IMAGE("https://mitra.stanford.edu/kundaje/oak/projects/neuro-variants/variant_position/credible/roussos_2024/variant_figures/roussos_2024.adolescence.Astrocyte/rs4758691_profile_position.png",4,220,900)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-0.0415072422</v>
      </c>
      <c r="G917" t="n">
        <v>0.3011586824415073</v>
      </c>
      <c r="H917" t="n">
        <v>0.0136979166159205</v>
      </c>
      <c r="I917" t="n">
        <v>0.4101160223052618</v>
      </c>
      <c r="J917" t="n">
        <v>0.4768789128564222</v>
      </c>
      <c r="K917" t="n">
        <v>0.0629299133717582</v>
      </c>
      <c r="L917" t="b">
        <v>0</v>
      </c>
      <c r="M917" t="b">
        <v>0</v>
      </c>
      <c r="N917" t="inlineStr">
        <is>
          <t>ref</t>
        </is>
      </c>
      <c r="O917" t="n">
        <v>-100</v>
      </c>
      <c r="P917" t="n">
        <v>0.02737</v>
      </c>
      <c r="Q917" t="n">
        <v>-100</v>
      </c>
      <c r="R917" t="n">
        <v>0.4346</v>
      </c>
      <c r="S917">
        <f>IMAGE("https://mitra.stanford.edu/kundaje/oak/projects/neuro-variants/variant_position/credible/roussos_2024/variant_figures/roussos_2024.adolescence.Astrocyte/rs4758690_count_position.png",4,220,900)</f>
        <v/>
      </c>
      <c r="T917">
        <f>IMAGE("https://mitra.stanford.edu/kundaje/oak/projects/neuro-variants/variant_position/credible/roussos_2024/variant_figures/roussos_2024.adolescence.Astrocyte/rs4758690_profile_position.png",4,220,900)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-0.02132684648</v>
      </c>
      <c r="G918" t="n">
        <v>0.3494818162256978</v>
      </c>
      <c r="H918" t="n">
        <v>0.0234417169448428</v>
      </c>
      <c r="I918" t="n">
        <v>0.0801438482090588</v>
      </c>
      <c r="J918" t="n">
        <v>0.4787489244280925</v>
      </c>
      <c r="K918" t="n">
        <v>0.0626886718685478</v>
      </c>
      <c r="L918" t="b">
        <v>0</v>
      </c>
      <c r="M918" t="b">
        <v>0</v>
      </c>
      <c r="N918" t="inlineStr">
        <is>
          <t>ref</t>
        </is>
      </c>
      <c r="O918" t="n">
        <v>25</v>
      </c>
      <c r="P918" t="n">
        <v>0.004795</v>
      </c>
      <c r="Q918" t="n">
        <v>95</v>
      </c>
      <c r="R918" t="n">
        <v>0.07140000000000001</v>
      </c>
      <c r="S918">
        <f>IMAGE("https://mitra.stanford.edu/kundaje/oak/projects/neuro-variants/variant_position/credible/roussos_2024/variant_figures/roussos_2024.adolescence.Astrocyte/rs7485421_count_position.png",4,220,900)</f>
        <v/>
      </c>
      <c r="T918">
        <f>IMAGE("https://mitra.stanford.edu/kundaje/oak/projects/neuro-variants/variant_position/credible/roussos_2024/variant_figures/roussos_2024.adolescence.Astrocyte/rs7485421_profile_position.png",4,220,900)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0.1340768684</v>
      </c>
      <c r="G919" t="n">
        <v>0.047380097066364</v>
      </c>
      <c r="H919" t="n">
        <v>0.0273005275007717</v>
      </c>
      <c r="I919" t="n">
        <v>0.0526310187953238</v>
      </c>
      <c r="J919" t="n">
        <v>0.1549476307747084</v>
      </c>
      <c r="K919" t="n">
        <v>0.2522339710340783</v>
      </c>
      <c r="L919" t="b">
        <v>0</v>
      </c>
      <c r="M919" t="b">
        <v>0</v>
      </c>
      <c r="N919" t="inlineStr">
        <is>
          <t>alt</t>
        </is>
      </c>
      <c r="O919" t="n">
        <v>-75</v>
      </c>
      <c r="P919" t="n">
        <v>0.012</v>
      </c>
      <c r="Q919" t="n">
        <v>95</v>
      </c>
      <c r="R919" t="n">
        <v>0.1311</v>
      </c>
      <c r="S919">
        <f>IMAGE("https://mitra.stanford.edu/kundaje/oak/projects/neuro-variants/variant_position/credible/roussos_2024/variant_figures/roussos_2024.adolescence.Astrocyte/rs6489242_count_position.png",4,220,900)</f>
        <v/>
      </c>
      <c r="T919">
        <f>IMAGE("https://mitra.stanford.edu/kundaje/oak/projects/neuro-variants/variant_position/credible/roussos_2024/variant_figures/roussos_2024.adolescence.Astrocyte/rs6489242_profile_position.png",4,220,900)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-0.0204003683</v>
      </c>
      <c r="G920" t="n">
        <v>0.5290580601025026</v>
      </c>
      <c r="H920" t="n">
        <v>0.0091866541178461</v>
      </c>
      <c r="I920" t="n">
        <v>0.8395560767494179</v>
      </c>
      <c r="J920" t="n">
        <v>0.3808147642643088</v>
      </c>
      <c r="K920" t="n">
        <v>0.0960436105726305</v>
      </c>
      <c r="L920" t="b">
        <v>0</v>
      </c>
      <c r="M920" t="b">
        <v>0</v>
      </c>
      <c r="N920" t="inlineStr">
        <is>
          <t>ref</t>
        </is>
      </c>
      <c r="O920" t="n">
        <v>90</v>
      </c>
      <c r="P920" t="n">
        <v>0.003195</v>
      </c>
      <c r="Q920" t="n">
        <v>-5</v>
      </c>
      <c r="R920" t="n">
        <v>0.00409</v>
      </c>
      <c r="S920">
        <f>IMAGE("https://mitra.stanford.edu/kundaje/oak/projects/neuro-variants/variant_position/credible/roussos_2024/variant_figures/roussos_2024.adolescence.Astrocyte/rs7488268_count_position.png",4,220,900)</f>
        <v/>
      </c>
      <c r="T920">
        <f>IMAGE("https://mitra.stanford.edu/kundaje/oak/projects/neuro-variants/variant_position/credible/roussos_2024/variant_figures/roussos_2024.adolescence.Astrocyte/rs7488268_profile_position.png",4,220,900)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-0.00286544222</v>
      </c>
      <c r="G921" t="n">
        <v>0.8309004117880299</v>
      </c>
      <c r="H921" t="n">
        <v>0.0085073224379508</v>
      </c>
      <c r="I921" t="n">
        <v>0.8788744383430906</v>
      </c>
      <c r="J921" t="n">
        <v>0.4859389371866006</v>
      </c>
      <c r="K921" t="n">
        <v>0.0603565293045676</v>
      </c>
      <c r="L921" t="b">
        <v>0</v>
      </c>
      <c r="M921" t="b">
        <v>0</v>
      </c>
      <c r="N921" t="inlineStr">
        <is>
          <t>ref</t>
        </is>
      </c>
      <c r="O921" t="n">
        <v>90</v>
      </c>
      <c r="P921" t="n">
        <v>0.012856</v>
      </c>
      <c r="Q921" t="n">
        <v>-40</v>
      </c>
      <c r="R921" t="n">
        <v>0.1415</v>
      </c>
      <c r="S921">
        <f>IMAGE("https://mitra.stanford.edu/kundaje/oak/projects/neuro-variants/variant_position/credible/roussos_2024/variant_figures/roussos_2024.adolescence.Astrocyte/rs4758686_count_position.png",4,220,900)</f>
        <v/>
      </c>
      <c r="T921">
        <f>IMAGE("https://mitra.stanford.edu/kundaje/oak/projects/neuro-variants/variant_position/credible/roussos_2024/variant_figures/roussos_2024.adolescence.Astrocyte/rs4758686_profile_position.png",4,220,900)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0.00043155032</v>
      </c>
      <c r="G922" t="n">
        <v>0.1582823714323283</v>
      </c>
      <c r="H922" t="n">
        <v>0.0311412006304</v>
      </c>
      <c r="I922" t="n">
        <v>0.0271635247291292</v>
      </c>
      <c r="J922" t="n">
        <v>0.4071907545322375</v>
      </c>
      <c r="K922" t="n">
        <v>0.0849896529003044</v>
      </c>
      <c r="L922" t="b">
        <v>0</v>
      </c>
      <c r="M922" t="b">
        <v>0</v>
      </c>
      <c r="N922" t="inlineStr">
        <is>
          <t>alt</t>
        </is>
      </c>
      <c r="O922" t="n">
        <v>-20</v>
      </c>
      <c r="P922" t="n">
        <v>0.001495</v>
      </c>
      <c r="Q922" t="n">
        <v>40</v>
      </c>
      <c r="R922" t="n">
        <v>0.05566</v>
      </c>
      <c r="S922">
        <f>IMAGE("https://mitra.stanford.edu/kundaje/oak/projects/neuro-variants/variant_position/credible/roussos_2024/variant_figures/roussos_2024.adolescence.Astrocyte/rs11057509_count_position.png",4,220,900)</f>
        <v/>
      </c>
      <c r="T922">
        <f>IMAGE("https://mitra.stanford.edu/kundaje/oak/projects/neuro-variants/variant_position/credible/roussos_2024/variant_figures/roussos_2024.adolescence.Astrocyte/rs11057509_profile_position.png",4,220,900)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0.0481487654</v>
      </c>
      <c r="G923" t="n">
        <v>0.2765988287400077</v>
      </c>
      <c r="H923" t="n">
        <v>0.0128433684865033</v>
      </c>
      <c r="I923" t="n">
        <v>0.4714650049622613</v>
      </c>
      <c r="J923" t="n">
        <v>0.4059505088567783</v>
      </c>
      <c r="K923" t="n">
        <v>0.0852448218262478</v>
      </c>
      <c r="L923" t="b">
        <v>0</v>
      </c>
      <c r="M923" t="b">
        <v>0</v>
      </c>
      <c r="N923" t="inlineStr">
        <is>
          <t>alt</t>
        </is>
      </c>
      <c r="O923" t="n">
        <v>20</v>
      </c>
      <c r="P923" t="n">
        <v>0.001812</v>
      </c>
      <c r="Q923" t="n">
        <v>5</v>
      </c>
      <c r="R923" t="n">
        <v>0.01155</v>
      </c>
      <c r="S923">
        <f>IMAGE("https://mitra.stanford.edu/kundaje/oak/projects/neuro-variants/variant_position/credible/roussos_2024/variant_figures/roussos_2024.adolescence.Astrocyte/rs1047796_count_position.png",4,220,900)</f>
        <v/>
      </c>
      <c r="T923">
        <f>IMAGE("https://mitra.stanford.edu/kundaje/oak/projects/neuro-variants/variant_position/credible/roussos_2024/variant_figures/roussos_2024.adolescence.Astrocyte/rs1047796_profile_position.png",4,220,900)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0.0871099214</v>
      </c>
      <c r="G924" t="n">
        <v>0.0991095294940233</v>
      </c>
      <c r="H924" t="n">
        <v>0.024436720821918</v>
      </c>
      <c r="I924" t="n">
        <v>0.0683344027046123</v>
      </c>
      <c r="J924" t="n">
        <v>0.06919858766281919</v>
      </c>
      <c r="K924" t="n">
        <v>0.3922449732566295</v>
      </c>
      <c r="L924" t="b">
        <v>0</v>
      </c>
      <c r="M924" t="b">
        <v>0</v>
      </c>
      <c r="N924" t="inlineStr">
        <is>
          <t>alt</t>
        </is>
      </c>
      <c r="O924" t="n">
        <v>90</v>
      </c>
      <c r="P924" t="n">
        <v>0.010254</v>
      </c>
      <c r="Q924" t="n">
        <v>-5</v>
      </c>
      <c r="R924" t="n">
        <v>0.04834</v>
      </c>
      <c r="S924">
        <f>IMAGE("https://mitra.stanford.edu/kundaje/oak/projects/neuro-variants/variant_position/credible/roussos_2024/variant_figures/roussos_2024.adolescence.Astrocyte/rs11057249_count_position.png",4,220,900)</f>
        <v/>
      </c>
      <c r="T924">
        <f>IMAGE("https://mitra.stanford.edu/kundaje/oak/projects/neuro-variants/variant_position/credible/roussos_2024/variant_figures/roussos_2024.adolescence.Astrocyte/rs11057249_profile_position.png",4,220,900)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-0.0338748436</v>
      </c>
      <c r="G925" t="n">
        <v>0.1317912483223737</v>
      </c>
      <c r="H925" t="n">
        <v>0.0158157375146564</v>
      </c>
      <c r="I925" t="n">
        <v>0.2816813658965648</v>
      </c>
      <c r="J925" t="n">
        <v>0.8336023499391745</v>
      </c>
      <c r="K925" t="n">
        <v>0.0050802763227045</v>
      </c>
      <c r="L925" t="b">
        <v>0</v>
      </c>
      <c r="M925" t="b">
        <v>0</v>
      </c>
      <c r="N925" t="inlineStr">
        <is>
          <t>ref</t>
        </is>
      </c>
      <c r="O925" t="n">
        <v>0</v>
      </c>
      <c r="P925" t="n">
        <v>0</v>
      </c>
      <c r="Q925" t="n">
        <v>-10</v>
      </c>
      <c r="R925" t="n">
        <v>0.00293</v>
      </c>
      <c r="S925">
        <f>IMAGE("https://mitra.stanford.edu/kundaje/oak/projects/neuro-variants/variant_position/credible/roussos_2024/variant_figures/roussos_2024.adolescence.Astrocyte/rs12298151_count_position.png",4,220,900)</f>
        <v/>
      </c>
      <c r="T925">
        <f>IMAGE("https://mitra.stanford.edu/kundaje/oak/projects/neuro-variants/variant_position/credible/roussos_2024/variant_figures/roussos_2024.adolescence.Astrocyte/rs12298151_profile_position.png",4,220,900)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-0.0419259064</v>
      </c>
      <c r="G926" t="n">
        <v>0.3133165795771382</v>
      </c>
      <c r="H926" t="n">
        <v>0.0182787581302752</v>
      </c>
      <c r="I926" t="n">
        <v>0.1821416824490602</v>
      </c>
      <c r="J926" t="n">
        <v>0.1440480075957629</v>
      </c>
      <c r="K926" t="n">
        <v>0.2606495648585212</v>
      </c>
      <c r="L926" t="b">
        <v>0</v>
      </c>
      <c r="M926" t="b">
        <v>0</v>
      </c>
      <c r="N926" t="inlineStr">
        <is>
          <t>ref</t>
        </is>
      </c>
      <c r="O926" t="n">
        <v>-100</v>
      </c>
      <c r="P926" t="n">
        <v>0.008675</v>
      </c>
      <c r="Q926" t="n">
        <v>-70</v>
      </c>
      <c r="R926" t="n">
        <v>0.06506000000000001</v>
      </c>
      <c r="S926">
        <f>IMAGE("https://mitra.stanford.edu/kundaje/oak/projects/neuro-variants/variant_position/credible/roussos_2024/variant_figures/roussos_2024.adolescence.Astrocyte/rs4275659_count_position.png",4,220,900)</f>
        <v/>
      </c>
      <c r="T926">
        <f>IMAGE("https://mitra.stanford.edu/kundaje/oak/projects/neuro-variants/variant_position/credible/roussos_2024/variant_figures/roussos_2024.adolescence.Astrocyte/rs4275659_profile_position.png",4,220,900)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-0.0369126192</v>
      </c>
      <c r="G927" t="n">
        <v>0.2514517795212153</v>
      </c>
      <c r="H927" t="n">
        <v>0.0163485919455655</v>
      </c>
      <c r="I927" t="n">
        <v>0.2577491498110187</v>
      </c>
      <c r="J927" t="n">
        <v>0.9173486039818414</v>
      </c>
      <c r="K927" t="n">
        <v>0.0010065678847916</v>
      </c>
      <c r="L927" t="b">
        <v>0</v>
      </c>
      <c r="M927" t="b">
        <v>0</v>
      </c>
      <c r="N927" t="inlineStr">
        <is>
          <t>ref</t>
        </is>
      </c>
      <c r="O927" t="n">
        <v>60</v>
      </c>
      <c r="P927" t="n">
        <v>0.00464</v>
      </c>
      <c r="Q927" t="n">
        <v>60</v>
      </c>
      <c r="R927" t="n">
        <v>0.008789999999999999</v>
      </c>
      <c r="S927">
        <f>IMAGE("https://mitra.stanford.edu/kundaje/oak/projects/neuro-variants/variant_position/credible/roussos_2024/variant_figures/roussos_2024.adolescence.Astrocyte/rs61955196_count_position.png",4,220,900)</f>
        <v/>
      </c>
      <c r="T927">
        <f>IMAGE("https://mitra.stanford.edu/kundaje/oak/projects/neuro-variants/variant_position/credible/roussos_2024/variant_figures/roussos_2024.adolescence.Astrocyte/rs61955196_profile_position.png",4,220,900)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0.008225122876</v>
      </c>
      <c r="G928" t="n">
        <v>0.7421970326962586</v>
      </c>
      <c r="H928" t="n">
        <v>0.0132436281165559</v>
      </c>
      <c r="I928" t="n">
        <v>0.4458052102851595</v>
      </c>
      <c r="J928" t="n">
        <v>0.8044803133252232</v>
      </c>
      <c r="K928" t="n">
        <v>0.0075512894597077</v>
      </c>
      <c r="L928" t="b">
        <v>0</v>
      </c>
      <c r="M928" t="b">
        <v>0</v>
      </c>
      <c r="N928" t="inlineStr">
        <is>
          <t>alt</t>
        </is>
      </c>
      <c r="O928" t="n">
        <v>-100</v>
      </c>
      <c r="P928" t="n">
        <v>0.0451</v>
      </c>
      <c r="Q928" t="n">
        <v>-100</v>
      </c>
      <c r="R928" t="n">
        <v>0.3892</v>
      </c>
      <c r="S928">
        <f>IMAGE("https://mitra.stanford.edu/kundaje/oak/projects/neuro-variants/variant_position/credible/roussos_2024/variant_figures/roussos_2024.adolescence.Astrocyte/rs3741530_count_position.png",4,220,900)</f>
        <v/>
      </c>
      <c r="T928">
        <f>IMAGE("https://mitra.stanford.edu/kundaje/oak/projects/neuro-variants/variant_position/credible/roussos_2024/variant_figures/roussos_2024.adolescence.Astrocyte/rs3741530_profile_position.png",4,220,900)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0.0415570296</v>
      </c>
      <c r="G929" t="n">
        <v>0.2377765782824366</v>
      </c>
      <c r="H929" t="n">
        <v>0.0249300229007135</v>
      </c>
      <c r="I929" t="n">
        <v>0.0680959020605563</v>
      </c>
      <c r="J929" t="n">
        <v>0.0010548022431237</v>
      </c>
      <c r="K929" t="n">
        <v>0.8764550018164172</v>
      </c>
      <c r="L929" t="b">
        <v>0</v>
      </c>
      <c r="M929" t="b">
        <v>0</v>
      </c>
      <c r="N929" t="inlineStr">
        <is>
          <t>alt</t>
        </is>
      </c>
      <c r="O929" t="n">
        <v>20</v>
      </c>
      <c r="P929" t="n">
        <v>0.0047</v>
      </c>
      <c r="Q929" t="n">
        <v>-80</v>
      </c>
      <c r="R929" t="n">
        <v>0.05243</v>
      </c>
      <c r="S929">
        <f>IMAGE("https://mitra.stanford.edu/kundaje/oak/projects/neuro-variants/variant_position/credible/roussos_2024/variant_figures/roussos_2024.adolescence.Astrocyte/rs12425850_count_position.png",4,220,900)</f>
        <v/>
      </c>
      <c r="T929">
        <f>IMAGE("https://mitra.stanford.edu/kundaje/oak/projects/neuro-variants/variant_position/credible/roussos_2024/variant_figures/roussos_2024.adolescence.Astrocyte/rs12425850_profile_position.png",4,220,900)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0.02828659248</v>
      </c>
      <c r="G930" t="n">
        <v>0.3870659978857836</v>
      </c>
      <c r="H930" t="n">
        <v>0.0103446244050999</v>
      </c>
      <c r="I930" t="n">
        <v>0.7251918996622323</v>
      </c>
      <c r="J930" t="n">
        <v>0.0243642999139541</v>
      </c>
      <c r="K930" t="n">
        <v>0.5477608293351192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0.00537</v>
      </c>
      <c r="Q930" t="n">
        <v>55</v>
      </c>
      <c r="R930" t="n">
        <v>0.0191</v>
      </c>
      <c r="S930">
        <f>IMAGE("https://mitra.stanford.edu/kundaje/oak/projects/neuro-variants/variant_position/credible/roussos_2024/variant_figures/roussos_2024.adolescence.Astrocyte/rs1790094_count_position.png",4,220,900)</f>
        <v/>
      </c>
      <c r="T930">
        <f>IMAGE("https://mitra.stanford.edu/kundaje/oak/projects/neuro-variants/variant_position/credible/roussos_2024/variant_figures/roussos_2024.adolescence.Astrocyte/rs1790094_profile_position.png",4,220,900)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0.0468756744</v>
      </c>
      <c r="G931" t="n">
        <v>0.2636999114578197</v>
      </c>
      <c r="H931" t="n">
        <v>0.0106469074936941</v>
      </c>
      <c r="I931" t="n">
        <v>0.6781288927216537</v>
      </c>
      <c r="J931" t="n">
        <v>0.1235498323591371</v>
      </c>
      <c r="K931" t="n">
        <v>0.2957319473770297</v>
      </c>
      <c r="L931" t="b">
        <v>0</v>
      </c>
      <c r="M931" t="b">
        <v>0</v>
      </c>
      <c r="N931" t="inlineStr">
        <is>
          <t>alt</t>
        </is>
      </c>
      <c r="O931" t="n">
        <v>100</v>
      </c>
      <c r="P931" t="n">
        <v>0.05392</v>
      </c>
      <c r="Q931" t="n">
        <v>60</v>
      </c>
      <c r="R931" t="n">
        <v>0.2158</v>
      </c>
      <c r="S931">
        <f>IMAGE("https://mitra.stanford.edu/kundaje/oak/projects/neuro-variants/variant_position/credible/roussos_2024/variant_figures/roussos_2024.adolescence.Astrocyte/rs58991895_count_position.png",4,220,900)</f>
        <v/>
      </c>
      <c r="T931">
        <f>IMAGE("https://mitra.stanford.edu/kundaje/oak/projects/neuro-variants/variant_position/credible/roussos_2024/variant_figures/roussos_2024.adolescence.Astrocyte/rs58991895_profile_position.png",4,220,900)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-0.1142820718</v>
      </c>
      <c r="G932" t="n">
        <v>0.0626836524799279</v>
      </c>
      <c r="H932" t="n">
        <v>0.0157653074983799</v>
      </c>
      <c r="I932" t="n">
        <v>0.2852275149214807</v>
      </c>
      <c r="J932" t="n">
        <v>0.1360005044061359</v>
      </c>
      <c r="K932" t="n">
        <v>0.2778015708747027</v>
      </c>
      <c r="L932" t="b">
        <v>0</v>
      </c>
      <c r="M932" t="b">
        <v>0</v>
      </c>
      <c r="N932" t="inlineStr">
        <is>
          <t>ref</t>
        </is>
      </c>
      <c r="O932" t="n">
        <v>80</v>
      </c>
      <c r="P932" t="n">
        <v>0.009834000000000001</v>
      </c>
      <c r="Q932" t="n">
        <v>-40</v>
      </c>
      <c r="R932" t="n">
        <v>0.0829</v>
      </c>
      <c r="S932">
        <f>IMAGE("https://mitra.stanford.edu/kundaje/oak/projects/neuro-variants/variant_position/credible/roussos_2024/variant_figures/roussos_2024.adolescence.Astrocyte/rs1727302_count_position.png",4,220,900)</f>
        <v/>
      </c>
      <c r="T932">
        <f>IMAGE("https://mitra.stanford.edu/kundaje/oak/projects/neuro-variants/variant_position/credible/roussos_2024/variant_figures/roussos_2024.adolescence.Astrocyte/rs1727302_profile_position.png",4,220,900)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-0.0304949735999999</v>
      </c>
      <c r="G933" t="n">
        <v>0.4125995110954277</v>
      </c>
      <c r="H933" t="n">
        <v>0.0502615899692043</v>
      </c>
      <c r="I933" t="n">
        <v>0.0039165261939963</v>
      </c>
      <c r="J933" t="n">
        <v>0.0009420526362637</v>
      </c>
      <c r="K933" t="n">
        <v>0.8805302465348492</v>
      </c>
      <c r="L933" t="b">
        <v>0</v>
      </c>
      <c r="M933" t="b">
        <v>0</v>
      </c>
      <c r="N933" t="inlineStr">
        <is>
          <t>ref</t>
        </is>
      </c>
      <c r="O933" t="n">
        <v>-95</v>
      </c>
      <c r="P933" t="n">
        <v>0.01685</v>
      </c>
      <c r="Q933" t="n">
        <v>20</v>
      </c>
      <c r="R933" t="n">
        <v>0.0545</v>
      </c>
      <c r="S933">
        <f>IMAGE("https://mitra.stanford.edu/kundaje/oak/projects/neuro-variants/variant_position/credible/roussos_2024/variant_figures/roussos_2024.adolescence.Astrocyte/rs11613128_count_position.png",4,220,900)</f>
        <v/>
      </c>
      <c r="T933">
        <f>IMAGE("https://mitra.stanford.edu/kundaje/oak/projects/neuro-variants/variant_position/credible/roussos_2024/variant_figures/roussos_2024.adolescence.Astrocyte/rs11613128_profile_position.png",4,220,900)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-0.00410871982</v>
      </c>
      <c r="G934" t="n">
        <v>0.8065396129171517</v>
      </c>
      <c r="H934" t="n">
        <v>0.0283071183044367</v>
      </c>
      <c r="I934" t="n">
        <v>0.0391413760842958</v>
      </c>
      <c r="J934" t="n">
        <v>0.0079688751743167</v>
      </c>
      <c r="K934" t="n">
        <v>0.6898693678226716</v>
      </c>
      <c r="L934" t="b">
        <v>0</v>
      </c>
      <c r="M934" t="b">
        <v>0</v>
      </c>
      <c r="N934" t="inlineStr">
        <is>
          <t>ref</t>
        </is>
      </c>
      <c r="O934" t="n">
        <v>-90</v>
      </c>
      <c r="P934" t="n">
        <v>0.1692</v>
      </c>
      <c r="Q934" t="n">
        <v>-100</v>
      </c>
      <c r="R934" t="n">
        <v>0.0586</v>
      </c>
      <c r="S934">
        <f>IMAGE("https://mitra.stanford.edu/kundaje/oak/projects/neuro-variants/variant_position/credible/roussos_2024/variant_figures/roussos_2024.adolescence.Astrocyte/rs4460848_count_position.png",4,220,900)</f>
        <v/>
      </c>
      <c r="T934">
        <f>IMAGE("https://mitra.stanford.edu/kundaje/oak/projects/neuro-variants/variant_position/credible/roussos_2024/variant_figures/roussos_2024.adolescence.Astrocyte/rs4460848_profile_position.png",4,220,900)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-0.053893088</v>
      </c>
      <c r="G935" t="n">
        <v>0.2090716415928644</v>
      </c>
      <c r="H935" t="n">
        <v>0.0143946619281408</v>
      </c>
      <c r="I935" t="n">
        <v>0.3598090676287839</v>
      </c>
      <c r="J935" t="n">
        <v>0.0091431029878645</v>
      </c>
      <c r="K935" t="n">
        <v>0.6754298510566062</v>
      </c>
      <c r="L935" t="b">
        <v>0</v>
      </c>
      <c r="M935" t="b">
        <v>0</v>
      </c>
      <c r="N935" t="inlineStr">
        <is>
          <t>ref</t>
        </is>
      </c>
      <c r="O935" t="n">
        <v>-15</v>
      </c>
      <c r="P935" t="n">
        <v>0.002136</v>
      </c>
      <c r="Q935" t="n">
        <v>5</v>
      </c>
      <c r="R935" t="n">
        <v>0.02136</v>
      </c>
      <c r="S935">
        <f>IMAGE("https://mitra.stanford.edu/kundaje/oak/projects/neuro-variants/variant_position/credible/roussos_2024/variant_figures/roussos_2024.adolescence.Astrocyte/rs74917517_count_position.png",4,220,900)</f>
        <v/>
      </c>
      <c r="T935">
        <f>IMAGE("https://mitra.stanford.edu/kundaje/oak/projects/neuro-variants/variant_position/credible/roussos_2024/variant_figures/roussos_2024.adolescence.Astrocyte/rs74917517_profile_position.png",4,220,900)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-0.0226993297999999</v>
      </c>
      <c r="G936" t="n">
        <v>0.5161880023743513</v>
      </c>
      <c r="H936" t="n">
        <v>0.0395727333491713</v>
      </c>
      <c r="I936" t="n">
        <v>0.0100379850453825</v>
      </c>
      <c r="J936" t="n">
        <v>0.0099019375129809</v>
      </c>
      <c r="K936" t="n">
        <v>0.6597368754740611</v>
      </c>
      <c r="L936" t="b">
        <v>0</v>
      </c>
      <c r="M936" t="b">
        <v>0</v>
      </c>
      <c r="N936" t="inlineStr">
        <is>
          <t>ref</t>
        </is>
      </c>
      <c r="O936" t="n">
        <v>-25</v>
      </c>
      <c r="P936" t="n">
        <v>0.0359</v>
      </c>
      <c r="Q936" t="n">
        <v>-60</v>
      </c>
      <c r="R936" t="n">
        <v>0.04114</v>
      </c>
      <c r="S936">
        <f>IMAGE("https://mitra.stanford.edu/kundaje/oak/projects/neuro-variants/variant_position/credible/roussos_2024/variant_figures/roussos_2024.adolescence.Astrocyte/rs74240770_count_position.png",4,220,900)</f>
        <v/>
      </c>
      <c r="T936">
        <f>IMAGE("https://mitra.stanford.edu/kundaje/oak/projects/neuro-variants/variant_position/credible/roussos_2024/variant_figures/roussos_2024.adolescence.Astrocyte/rs74240770_profile_position.png",4,220,900)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-0.0403452094</v>
      </c>
      <c r="G937" t="n">
        <v>0.3221080793764048</v>
      </c>
      <c r="H937" t="n">
        <v>0.0543599714033855</v>
      </c>
      <c r="I937" t="n">
        <v>0.0028029814484461</v>
      </c>
      <c r="J937" t="n">
        <v>0.0320105035160074</v>
      </c>
      <c r="K937" t="n">
        <v>0.5042204004129931</v>
      </c>
      <c r="L937" t="b">
        <v>1</v>
      </c>
      <c r="M937" t="b">
        <v>0</v>
      </c>
      <c r="N937" t="inlineStr">
        <is>
          <t>ref</t>
        </is>
      </c>
      <c r="O937" t="n">
        <v>100</v>
      </c>
      <c r="P937" t="n">
        <v>0.004776</v>
      </c>
      <c r="Q937" t="n">
        <v>-85</v>
      </c>
      <c r="R937" t="n">
        <v>0.03162</v>
      </c>
      <c r="S937">
        <f>IMAGE("https://mitra.stanford.edu/kundaje/oak/projects/neuro-variants/variant_position/credible/roussos_2024/variant_figures/roussos_2024.adolescence.Astrocyte/rs1790134_count_position.png",4,220,900)</f>
        <v/>
      </c>
      <c r="T937">
        <f>IMAGE("https://mitra.stanford.edu/kundaje/oak/projects/neuro-variants/variant_position/credible/roussos_2024/variant_figures/roussos_2024.adolescence.Astrocyte/rs1790134_profile_position.png",4,220,900)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-0.0366380412</v>
      </c>
      <c r="G938" t="n">
        <v>0.3654271766098382</v>
      </c>
      <c r="H938" t="n">
        <v>0.009328783968378501</v>
      </c>
      <c r="I938" t="n">
        <v>0.8078727487493161</v>
      </c>
      <c r="J938" t="n">
        <v>0.012027861021274</v>
      </c>
      <c r="K938" t="n">
        <v>0.6384289304498283</v>
      </c>
      <c r="L938" t="b">
        <v>0</v>
      </c>
      <c r="M938" t="b">
        <v>0</v>
      </c>
      <c r="N938" t="inlineStr">
        <is>
          <t>ref</t>
        </is>
      </c>
      <c r="O938" t="n">
        <v>70</v>
      </c>
      <c r="P938" t="n">
        <v>0.004623</v>
      </c>
      <c r="Q938" t="n">
        <v>100</v>
      </c>
      <c r="R938" t="n">
        <v>0.169</v>
      </c>
      <c r="S938">
        <f>IMAGE("https://mitra.stanford.edu/kundaje/oak/projects/neuro-variants/variant_position/credible/roussos_2024/variant_figures/roussos_2024.adolescence.Astrocyte/rs1790133_count_position.png",4,220,900)</f>
        <v/>
      </c>
      <c r="T938">
        <f>IMAGE("https://mitra.stanford.edu/kundaje/oak/projects/neuro-variants/variant_position/credible/roussos_2024/variant_figures/roussos_2024.adolescence.Astrocyte/rs1790133_profile_position.png",4,220,900)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-0.0475821964</v>
      </c>
      <c r="G939" t="n">
        <v>0.2584249208860413</v>
      </c>
      <c r="H939" t="n">
        <v>0.0117089075882657</v>
      </c>
      <c r="I939" t="n">
        <v>0.5847435529948334</v>
      </c>
      <c r="J939" t="n">
        <v>0.2615471916446606</v>
      </c>
      <c r="K939" t="n">
        <v>0.1576924670536437</v>
      </c>
      <c r="L939" t="b">
        <v>0</v>
      </c>
      <c r="M939" t="b">
        <v>0</v>
      </c>
      <c r="N939" t="inlineStr">
        <is>
          <t>ref</t>
        </is>
      </c>
      <c r="O939" t="n">
        <v>100</v>
      </c>
      <c r="P939" t="n">
        <v>0.00515</v>
      </c>
      <c r="Q939" t="n">
        <v>100</v>
      </c>
      <c r="R939" t="n">
        <v>0.04224</v>
      </c>
      <c r="S939">
        <f>IMAGE("https://mitra.stanford.edu/kundaje/oak/projects/neuro-variants/variant_position/credible/roussos_2024/variant_figures/roussos_2024.adolescence.Astrocyte/rs1727331_count_position.png",4,220,900)</f>
        <v/>
      </c>
      <c r="T939">
        <f>IMAGE("https://mitra.stanford.edu/kundaje/oak/projects/neuro-variants/variant_position/credible/roussos_2024/variant_figures/roussos_2024.adolescence.Astrocyte/rs1727331_profile_position.png",4,220,900)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-0.00262012064</v>
      </c>
      <c r="G940" t="n">
        <v>0.803165317784443</v>
      </c>
      <c r="H940" t="n">
        <v>0.0418350837746723</v>
      </c>
      <c r="I940" t="n">
        <v>0.0081833730101037</v>
      </c>
      <c r="J940" t="n">
        <v>0.2192171320060528</v>
      </c>
      <c r="K940" t="n">
        <v>0.1863378740374363</v>
      </c>
      <c r="L940" t="b">
        <v>1</v>
      </c>
      <c r="M940" t="b">
        <v>1</v>
      </c>
      <c r="N940" t="inlineStr">
        <is>
          <t>ref</t>
        </is>
      </c>
      <c r="O940" t="n">
        <v>-95</v>
      </c>
      <c r="P940" t="n">
        <v>0.0667</v>
      </c>
      <c r="Q940" t="n">
        <v>-100</v>
      </c>
      <c r="R940" t="n">
        <v>0.3425</v>
      </c>
      <c r="S940">
        <f>IMAGE("https://mitra.stanford.edu/kundaje/oak/projects/neuro-variants/variant_position/credible/roussos_2024/variant_figures/roussos_2024.adolescence.Astrocyte/rs11554169_count_position.png",4,220,900)</f>
        <v/>
      </c>
      <c r="T940">
        <f>IMAGE("https://mitra.stanford.edu/kundaje/oak/projects/neuro-variants/variant_position/credible/roussos_2024/variant_figures/roussos_2024.adolescence.Astrocyte/rs11554169_profile_position.png",4,220,900)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-0.221398762</v>
      </c>
      <c r="G941" t="n">
        <v>0.0140038114374328</v>
      </c>
      <c r="H941" t="n">
        <v>0.0180334506510158</v>
      </c>
      <c r="I941" t="n">
        <v>0.1958370555116538</v>
      </c>
      <c r="J941" t="n">
        <v>0.3605265109930866</v>
      </c>
      <c r="K941" t="n">
        <v>0.1039702906172037</v>
      </c>
      <c r="L941" t="b">
        <v>1</v>
      </c>
      <c r="M941" t="b">
        <v>0</v>
      </c>
      <c r="N941" t="inlineStr">
        <is>
          <t>ref</t>
        </is>
      </c>
      <c r="O941" t="n">
        <v>45</v>
      </c>
      <c r="P941" t="n">
        <v>0.00436</v>
      </c>
      <c r="Q941" t="n">
        <v>50</v>
      </c>
      <c r="R941" t="n">
        <v>0.0891</v>
      </c>
      <c r="S941">
        <f>IMAGE("https://mitra.stanford.edu/kundaje/oak/projects/neuro-variants/variant_position/credible/roussos_2024/variant_figures/roussos_2024.adolescence.Astrocyte/rs1980251_count_position.png",4,220,900)</f>
        <v/>
      </c>
      <c r="T941">
        <f>IMAGE("https://mitra.stanford.edu/kundaje/oak/projects/neuro-variants/variant_position/credible/roussos_2024/variant_figures/roussos_2024.adolescence.Astrocyte/rs1980251_profile_position.png",4,220,900)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0.0375976679</v>
      </c>
      <c r="G942" t="n">
        <v>0.3385637270384492</v>
      </c>
      <c r="H942" t="n">
        <v>0.0133056890858603</v>
      </c>
      <c r="I942" t="n">
        <v>0.4449822552006438</v>
      </c>
      <c r="J942" t="n">
        <v>0.2939345162151737</v>
      </c>
      <c r="K942" t="n">
        <v>0.1371312632758741</v>
      </c>
      <c r="L942" t="b">
        <v>0</v>
      </c>
      <c r="M942" t="b">
        <v>0</v>
      </c>
      <c r="N942" t="inlineStr">
        <is>
          <t>alt</t>
        </is>
      </c>
      <c r="O942" t="n">
        <v>65</v>
      </c>
      <c r="P942" t="n">
        <v>0.03964</v>
      </c>
      <c r="Q942" t="n">
        <v>-100</v>
      </c>
      <c r="R942" t="n">
        <v>0.3015</v>
      </c>
      <c r="S942">
        <f>IMAGE("https://mitra.stanford.edu/kundaje/oak/projects/neuro-variants/variant_position/credible/roussos_2024/variant_figures/roussos_2024.adolescence.Astrocyte/rs78197735_count_position.png",4,220,900)</f>
        <v/>
      </c>
      <c r="T942">
        <f>IMAGE("https://mitra.stanford.edu/kundaje/oak/projects/neuro-variants/variant_position/credible/roussos_2024/variant_figures/roussos_2024.adolescence.Astrocyte/rs78197735_profile_position.png",4,220,900)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-0.008928190755999999</v>
      </c>
      <c r="G943" t="n">
        <v>0.7469068119736921</v>
      </c>
      <c r="H943" t="n">
        <v>0.0129649345000063</v>
      </c>
      <c r="I943" t="n">
        <v>0.4669502520774852</v>
      </c>
      <c r="J943" t="n">
        <v>0.6350265554995105</v>
      </c>
      <c r="K943" t="n">
        <v>0.0260665464620199</v>
      </c>
      <c r="L943" t="b">
        <v>0</v>
      </c>
      <c r="M943" t="b">
        <v>0</v>
      </c>
      <c r="N943" t="inlineStr">
        <is>
          <t>ref</t>
        </is>
      </c>
      <c r="O943" t="n">
        <v>100</v>
      </c>
      <c r="P943" t="n">
        <v>0.04388</v>
      </c>
      <c r="Q943" t="n">
        <v>100</v>
      </c>
      <c r="R943" t="n">
        <v>0.298</v>
      </c>
      <c r="S943">
        <f>IMAGE("https://mitra.stanford.edu/kundaje/oak/projects/neuro-variants/variant_position/credible/roussos_2024/variant_figures/roussos_2024.adolescence.Astrocyte/rs76514049_count_position.png",4,220,900)</f>
        <v/>
      </c>
      <c r="T943">
        <f>IMAGE("https://mitra.stanford.edu/kundaje/oak/projects/neuro-variants/variant_position/credible/roussos_2024/variant_figures/roussos_2024.adolescence.Astrocyte/rs76514049_profile_position.png",4,220,900)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-0.0729079228</v>
      </c>
      <c r="G944" t="n">
        <v>0.1514769580418819</v>
      </c>
      <c r="H944" t="n">
        <v>0.0227991796670982</v>
      </c>
      <c r="I944" t="n">
        <v>0.0886981929974433</v>
      </c>
      <c r="J944" t="n">
        <v>0.2176772097439396</v>
      </c>
      <c r="K944" t="n">
        <v>0.1887559551331825</v>
      </c>
      <c r="L944" t="b">
        <v>0</v>
      </c>
      <c r="M944" t="b">
        <v>0</v>
      </c>
      <c r="N944" t="inlineStr">
        <is>
          <t>ref</t>
        </is>
      </c>
      <c r="O944" t="n">
        <v>75</v>
      </c>
      <c r="P944" t="n">
        <v>0.0314</v>
      </c>
      <c r="Q944" t="n">
        <v>-65</v>
      </c>
      <c r="R944" t="n">
        <v>0.1081</v>
      </c>
      <c r="S944">
        <f>IMAGE("https://mitra.stanford.edu/kundaje/oak/projects/neuro-variants/variant_position/credible/roussos_2024/variant_figures/roussos_2024.adolescence.Astrocyte/rs74240779_count_position.png",4,220,900)</f>
        <v/>
      </c>
      <c r="T944">
        <f>IMAGE("https://mitra.stanford.edu/kundaje/oak/projects/neuro-variants/variant_position/credible/roussos_2024/variant_figures/roussos_2024.adolescence.Astrocyte/rs74240779_profile_position.png",4,220,900)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0.02243552244</v>
      </c>
      <c r="G945" t="n">
        <v>0.4936806178450561</v>
      </c>
      <c r="H945" t="n">
        <v>0.0587349831306676</v>
      </c>
      <c r="I945" t="n">
        <v>0.0021217299706635</v>
      </c>
      <c r="J945" t="n">
        <v>0.0265213779188795</v>
      </c>
      <c r="K945" t="n">
        <v>0.5494069571218629</v>
      </c>
      <c r="L945" t="b">
        <v>1</v>
      </c>
      <c r="M945" t="b">
        <v>0</v>
      </c>
      <c r="N945" t="inlineStr">
        <is>
          <t>alt</t>
        </is>
      </c>
      <c r="O945" t="n">
        <v>90</v>
      </c>
      <c r="P945" t="n">
        <v>0.006287</v>
      </c>
      <c r="Q945" t="n">
        <v>-65</v>
      </c>
      <c r="R945" t="n">
        <v>0.1399</v>
      </c>
      <c r="S945">
        <f>IMAGE("https://mitra.stanford.edu/kundaje/oak/projects/neuro-variants/variant_position/credible/roussos_2024/variant_figures/roussos_2024.adolescence.Astrocyte/rs67382382_count_position.png",4,220,900)</f>
        <v/>
      </c>
      <c r="T945">
        <f>IMAGE("https://mitra.stanford.edu/kundaje/oak/projects/neuro-variants/variant_position/credible/roussos_2024/variant_figures/roussos_2024.adolescence.Astrocyte/rs67382382_profile_position.png",4,220,900)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0.242852442</v>
      </c>
      <c r="G946" t="n">
        <v>0.0116356002167822</v>
      </c>
      <c r="H946" t="n">
        <v>0.023151824794931</v>
      </c>
      <c r="I946" t="n">
        <v>0.0850216676896472</v>
      </c>
      <c r="J946" t="n">
        <v>0.0193298816129127</v>
      </c>
      <c r="K946" t="n">
        <v>0.5787583860726876</v>
      </c>
      <c r="L946" t="b">
        <v>1</v>
      </c>
      <c r="M946" t="b">
        <v>0</v>
      </c>
      <c r="N946" t="inlineStr">
        <is>
          <t>alt</t>
        </is>
      </c>
      <c r="O946" t="n">
        <v>-55</v>
      </c>
      <c r="P946" t="n">
        <v>0.0245</v>
      </c>
      <c r="Q946" t="n">
        <v>45</v>
      </c>
      <c r="R946" t="n">
        <v>0.114</v>
      </c>
      <c r="S946">
        <f>IMAGE("https://mitra.stanford.edu/kundaje/oak/projects/neuro-variants/variant_position/credible/roussos_2024/variant_figures/roussos_2024.adolescence.Astrocyte/rs58537268_count_position.png",4,220,900)</f>
        <v/>
      </c>
      <c r="T946">
        <f>IMAGE("https://mitra.stanford.edu/kundaje/oak/projects/neuro-variants/variant_position/credible/roussos_2024/variant_figures/roussos_2024.adolescence.Astrocyte/rs58537268_profile_position.png",4,220,900)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0.0132693322</v>
      </c>
      <c r="G947" t="n">
        <v>0.6687882051407094</v>
      </c>
      <c r="H947" t="n">
        <v>0.0429046064210074</v>
      </c>
      <c r="I947" t="n">
        <v>0.0073142605479075</v>
      </c>
      <c r="J947" t="n">
        <v>0.0048126279559682</v>
      </c>
      <c r="K947" t="n">
        <v>0.7412633586439404</v>
      </c>
      <c r="L947" t="b">
        <v>0</v>
      </c>
      <c r="M947" t="b">
        <v>0</v>
      </c>
      <c r="N947" t="inlineStr">
        <is>
          <t>alt</t>
        </is>
      </c>
      <c r="O947" t="n">
        <v>85</v>
      </c>
      <c r="P947" t="n">
        <v>0.01631</v>
      </c>
      <c r="Q947" t="n">
        <v>100</v>
      </c>
      <c r="R947" t="n">
        <v>0.1892</v>
      </c>
      <c r="S947">
        <f>IMAGE("https://mitra.stanford.edu/kundaje/oak/projects/neuro-variants/variant_position/credible/roussos_2024/variant_figures/roussos_2024.adolescence.Astrocyte/rs117741953_count_position.png",4,220,900)</f>
        <v/>
      </c>
      <c r="T947">
        <f>IMAGE("https://mitra.stanford.edu/kundaje/oak/projects/neuro-variants/variant_position/credible/roussos_2024/variant_figures/roussos_2024.adolescence.Astrocyte/rs117741953_profile_position.png",4,220,900)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0.0120252197939999</v>
      </c>
      <c r="G948" t="n">
        <v>0.2379496610789487</v>
      </c>
      <c r="H948" t="n">
        <v>0.0170525651065059</v>
      </c>
      <c r="I948" t="n">
        <v>0.2290653022452251</v>
      </c>
      <c r="J948" t="n">
        <v>0.0176208349405097</v>
      </c>
      <c r="K948" t="n">
        <v>0.5877946096294838</v>
      </c>
      <c r="L948" t="b">
        <v>0</v>
      </c>
      <c r="M948" t="b">
        <v>0</v>
      </c>
      <c r="N948" t="inlineStr">
        <is>
          <t>alt</t>
        </is>
      </c>
      <c r="O948" t="n">
        <v>30</v>
      </c>
      <c r="P948" t="n">
        <v>0.00398</v>
      </c>
      <c r="Q948" t="n">
        <v>0</v>
      </c>
      <c r="R948" t="n">
        <v>0</v>
      </c>
      <c r="S948">
        <f>IMAGE("https://mitra.stanford.edu/kundaje/oak/projects/neuro-variants/variant_position/credible/roussos_2024/variant_figures/roussos_2024.adolescence.Astrocyte/rs57416942_count_position.png",4,220,900)</f>
        <v/>
      </c>
      <c r="T948">
        <f>IMAGE("https://mitra.stanford.edu/kundaje/oak/projects/neuro-variants/variant_position/credible/roussos_2024/variant_figures/roussos_2024.adolescence.Astrocyte/rs57416942_profile_position.png",4,220,900)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0.0391194992</v>
      </c>
      <c r="G949" t="n">
        <v>0.3131710821267237</v>
      </c>
      <c r="H949" t="n">
        <v>0.0150708638050478</v>
      </c>
      <c r="I949" t="n">
        <v>0.3164544687107207</v>
      </c>
      <c r="J949" t="n">
        <v>0.0026533246298548</v>
      </c>
      <c r="K949" t="n">
        <v>0.7964771772628247</v>
      </c>
      <c r="L949" t="b">
        <v>0</v>
      </c>
      <c r="M949" t="b">
        <v>0</v>
      </c>
      <c r="N949" t="inlineStr">
        <is>
          <t>alt</t>
        </is>
      </c>
      <c r="O949" t="n">
        <v>20</v>
      </c>
      <c r="P949" t="n">
        <v>0.02312</v>
      </c>
      <c r="Q949" t="n">
        <v>-60</v>
      </c>
      <c r="R949" t="n">
        <v>0.01538</v>
      </c>
      <c r="S949">
        <f>IMAGE("https://mitra.stanford.edu/kundaje/oak/projects/neuro-variants/variant_position/credible/roussos_2024/variant_figures/roussos_2024.adolescence.Astrocyte/rs75225286_count_position.png",4,220,900)</f>
        <v/>
      </c>
      <c r="T949">
        <f>IMAGE("https://mitra.stanford.edu/kundaje/oak/projects/neuro-variants/variant_position/credible/roussos_2024/variant_figures/roussos_2024.adolescence.Astrocyte/rs75225286_profile_position.png",4,220,900)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0.0429378735999999</v>
      </c>
      <c r="G950" t="n">
        <v>0.2797118734744198</v>
      </c>
      <c r="H950" t="n">
        <v>0.0162955890018577</v>
      </c>
      <c r="I950" t="n">
        <v>0.259527319407654</v>
      </c>
      <c r="J950" t="n">
        <v>0.0823821321544075</v>
      </c>
      <c r="K950" t="n">
        <v>0.3624531761686031</v>
      </c>
      <c r="L950" t="b">
        <v>0</v>
      </c>
      <c r="M950" t="b">
        <v>0</v>
      </c>
      <c r="N950" t="inlineStr">
        <is>
          <t>alt</t>
        </is>
      </c>
      <c r="O950" t="n">
        <v>50</v>
      </c>
      <c r="P950" t="n">
        <v>0.001917</v>
      </c>
      <c r="Q950" t="n">
        <v>-85</v>
      </c>
      <c r="R950" t="n">
        <v>0.0682</v>
      </c>
      <c r="S950">
        <f>IMAGE("https://mitra.stanford.edu/kundaje/oak/projects/neuro-variants/variant_position/credible/roussos_2024/variant_figures/roussos_2024.adolescence.Astrocyte/rs10846519_count_position.png",4,220,900)</f>
        <v/>
      </c>
      <c r="T950">
        <f>IMAGE("https://mitra.stanford.edu/kundaje/oak/projects/neuro-variants/variant_position/credible/roussos_2024/variant_figures/roussos_2024.adolescence.Astrocyte/rs10846519_profile_position.png",4,220,900)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-0.1442666968</v>
      </c>
      <c r="G951" t="n">
        <v>0.0381546889526783</v>
      </c>
      <c r="H951" t="n">
        <v>0.0154036829619625</v>
      </c>
      <c r="I951" t="n">
        <v>0.3002512391558828</v>
      </c>
      <c r="J951" t="n">
        <v>0.0553340948876954</v>
      </c>
      <c r="K951" t="n">
        <v>0.4329622917717414</v>
      </c>
      <c r="L951" t="b">
        <v>0</v>
      </c>
      <c r="M951" t="b">
        <v>0</v>
      </c>
      <c r="N951" t="inlineStr">
        <is>
          <t>ref</t>
        </is>
      </c>
      <c r="O951" t="n">
        <v>0</v>
      </c>
      <c r="P951" t="n">
        <v>0</v>
      </c>
      <c r="Q951" t="n">
        <v>65</v>
      </c>
      <c r="R951" t="n">
        <v>0.2225</v>
      </c>
      <c r="S951">
        <f>IMAGE("https://mitra.stanford.edu/kundaje/oak/projects/neuro-variants/variant_position/credible/roussos_2024/variant_figures/roussos_2024.adolescence.Astrocyte/rs7486223_count_position.png",4,220,900)</f>
        <v/>
      </c>
      <c r="T951">
        <f>IMAGE("https://mitra.stanford.edu/kundaje/oak/projects/neuro-variants/variant_position/credible/roussos_2024/variant_figures/roussos_2024.adolescence.Astrocyte/rs7486223_profile_position.png",4,220,900)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0.0002790617199999</v>
      </c>
      <c r="G952" t="n">
        <v>0.7943721206280979</v>
      </c>
      <c r="H952" t="n">
        <v>0.0366373922861009</v>
      </c>
      <c r="I952" t="n">
        <v>0.0137940186462967</v>
      </c>
      <c r="J952" t="n">
        <v>0.0342395335726789</v>
      </c>
      <c r="K952" t="n">
        <v>0.5003821337917733</v>
      </c>
      <c r="L952" t="b">
        <v>1</v>
      </c>
      <c r="M952" t="b">
        <v>0</v>
      </c>
      <c r="N952" t="inlineStr">
        <is>
          <t>alt</t>
        </is>
      </c>
      <c r="O952" t="n">
        <v>50</v>
      </c>
      <c r="P952" t="n">
        <v>0.01987</v>
      </c>
      <c r="Q952" t="n">
        <v>90</v>
      </c>
      <c r="R952" t="n">
        <v>0.03818</v>
      </c>
      <c r="S952">
        <f>IMAGE("https://mitra.stanford.edu/kundaje/oak/projects/neuro-variants/variant_position/credible/roussos_2024/variant_figures/roussos_2024.adolescence.Astrocyte/rs7952835_count_position.png",4,220,900)</f>
        <v/>
      </c>
      <c r="T952">
        <f>IMAGE("https://mitra.stanford.edu/kundaje/oak/projects/neuro-variants/variant_position/credible/roussos_2024/variant_figures/roussos_2024.adolescence.Astrocyte/rs7952835_profile_position.png",4,220,900)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0.0832423087999999</v>
      </c>
      <c r="G953" t="n">
        <v>0.1150759591431905</v>
      </c>
      <c r="H953" t="n">
        <v>0.0154455834137078</v>
      </c>
      <c r="I953" t="n">
        <v>0.2962843059481942</v>
      </c>
      <c r="J953" t="n">
        <v>0.048756045455894</v>
      </c>
      <c r="K953" t="n">
        <v>0.4452749831462495</v>
      </c>
      <c r="L953" t="b">
        <v>0</v>
      </c>
      <c r="M953" t="b">
        <v>0</v>
      </c>
      <c r="N953" t="inlineStr">
        <is>
          <t>alt</t>
        </is>
      </c>
      <c r="O953" t="n">
        <v>-30</v>
      </c>
      <c r="P953" t="n">
        <v>0.006714</v>
      </c>
      <c r="Q953" t="n">
        <v>-100</v>
      </c>
      <c r="R953" t="n">
        <v>0.0929</v>
      </c>
      <c r="S953">
        <f>IMAGE("https://mitra.stanford.edu/kundaje/oak/projects/neuro-variants/variant_position/credible/roussos_2024/variant_figures/roussos_2024.adolescence.Astrocyte/rs7962723_count_position.png",4,220,900)</f>
        <v/>
      </c>
      <c r="T953">
        <f>IMAGE("https://mitra.stanford.edu/kundaje/oak/projects/neuro-variants/variant_position/credible/roussos_2024/variant_figures/roussos_2024.adolescence.Astrocyte/rs7962723_profile_position.png",4,220,900)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0.0727361188</v>
      </c>
      <c r="G954" t="n">
        <v>0.1566253247346154</v>
      </c>
      <c r="H954" t="n">
        <v>0.0205581030232834</v>
      </c>
      <c r="I954" t="n">
        <v>0.1261076216718903</v>
      </c>
      <c r="J954" t="n">
        <v>0.0452437468474616</v>
      </c>
      <c r="K954" t="n">
        <v>0.4609714700337765</v>
      </c>
      <c r="L954" t="b">
        <v>0</v>
      </c>
      <c r="M954" t="b">
        <v>0</v>
      </c>
      <c r="N954" t="inlineStr">
        <is>
          <t>alt</t>
        </is>
      </c>
      <c r="O954" t="n">
        <v>-40</v>
      </c>
      <c r="P954" t="n">
        <v>0.01135</v>
      </c>
      <c r="Q954" t="n">
        <v>-85</v>
      </c>
      <c r="R954" t="n">
        <v>0.107</v>
      </c>
      <c r="S954">
        <f>IMAGE("https://mitra.stanford.edu/kundaje/oak/projects/neuro-variants/variant_position/credible/roussos_2024/variant_figures/roussos_2024.adolescence.Astrocyte/rs10773011_count_position.png",4,220,900)</f>
        <v/>
      </c>
      <c r="T954">
        <f>IMAGE("https://mitra.stanford.edu/kundaje/oak/projects/neuro-variants/variant_position/credible/roussos_2024/variant_figures/roussos_2024.adolescence.Astrocyte/rs10773011_profile_position.png",4,220,900)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0.0147946809</v>
      </c>
      <c r="G955" t="n">
        <v>0.6379631281973019</v>
      </c>
      <c r="H955" t="n">
        <v>0.022366526766053</v>
      </c>
      <c r="I955" t="n">
        <v>0.0962238442385154</v>
      </c>
      <c r="J955" t="n">
        <v>0.0321432810135596</v>
      </c>
      <c r="K955" t="n">
        <v>0.5018492627707059</v>
      </c>
      <c r="L955" t="b">
        <v>0</v>
      </c>
      <c r="M955" t="b">
        <v>0</v>
      </c>
      <c r="N955" t="inlineStr">
        <is>
          <t>alt</t>
        </is>
      </c>
      <c r="O955" t="n">
        <v>15</v>
      </c>
      <c r="P955" t="n">
        <v>0.01291</v>
      </c>
      <c r="Q955" t="n">
        <v>90</v>
      </c>
      <c r="R955" t="n">
        <v>0.1476</v>
      </c>
      <c r="S955">
        <f>IMAGE("https://mitra.stanford.edu/kundaje/oak/projects/neuro-variants/variant_position/credible/roussos_2024/variant_figures/roussos_2024.adolescence.Astrocyte/rs9300256_count_position.png",4,220,900)</f>
        <v/>
      </c>
      <c r="T955">
        <f>IMAGE("https://mitra.stanford.edu/kundaje/oak/projects/neuro-variants/variant_position/credible/roussos_2024/variant_figures/roussos_2024.adolescence.Astrocyte/rs9300256_profile_position.png",4,220,900)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-0.2496255539999999</v>
      </c>
      <c r="G956" t="n">
        <v>0.0125936765566489</v>
      </c>
      <c r="H956" t="n">
        <v>0.0405526158518492</v>
      </c>
      <c r="I956" t="n">
        <v>0.0105510575060809</v>
      </c>
      <c r="J956" t="n">
        <v>0.0187861614693053</v>
      </c>
      <c r="K956" t="n">
        <v>0.5819537265515539</v>
      </c>
      <c r="L956" t="b">
        <v>1</v>
      </c>
      <c r="M956" t="b">
        <v>0</v>
      </c>
      <c r="N956" t="inlineStr">
        <is>
          <t>ref</t>
        </is>
      </c>
      <c r="O956" t="n">
        <v>0</v>
      </c>
      <c r="P956" t="n">
        <v>0</v>
      </c>
      <c r="Q956" t="n">
        <v>0</v>
      </c>
      <c r="R956" t="n">
        <v>0</v>
      </c>
      <c r="S956">
        <f>IMAGE("https://mitra.stanford.edu/kundaje/oak/projects/neuro-variants/variant_position/credible/roussos_2024/variant_figures/roussos_2024.adolescence.Astrocyte/rs10773016_count_position.png",4,220,900)</f>
        <v/>
      </c>
      <c r="T956">
        <f>IMAGE("https://mitra.stanford.edu/kundaje/oak/projects/neuro-variants/variant_position/credible/roussos_2024/variant_figures/roussos_2024.adolescence.Astrocyte/rs10773016_profile_position.png",4,220,900)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-0.03050125976</v>
      </c>
      <c r="G957" t="n">
        <v>0.4229678148995813</v>
      </c>
      <c r="H957" t="n">
        <v>0.0114799724184771</v>
      </c>
      <c r="I957" t="n">
        <v>0.6086955661567856</v>
      </c>
      <c r="J957" t="n">
        <v>0.2491477019849864</v>
      </c>
      <c r="K957" t="n">
        <v>0.166801882841328</v>
      </c>
      <c r="L957" t="b">
        <v>0</v>
      </c>
      <c r="M957" t="b">
        <v>0</v>
      </c>
      <c r="N957" t="inlineStr">
        <is>
          <t>ref</t>
        </is>
      </c>
      <c r="O957" t="n">
        <v>-100</v>
      </c>
      <c r="P957" t="n">
        <v>0.0315</v>
      </c>
      <c r="Q957" t="n">
        <v>-100</v>
      </c>
      <c r="R957" t="n">
        <v>0.3752</v>
      </c>
      <c r="S957">
        <f>IMAGE("https://mitra.stanford.edu/kundaje/oak/projects/neuro-variants/variant_position/credible/roussos_2024/variant_figures/roussos_2024.adolescence.Astrocyte/rs4930723_count_position.png",4,220,900)</f>
        <v/>
      </c>
      <c r="T957">
        <f>IMAGE("https://mitra.stanford.edu/kundaje/oak/projects/neuro-variants/variant_position/credible/roussos_2024/variant_figures/roussos_2024.adolescence.Astrocyte/rs4930723_profile_position.png",4,220,900)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0.0007121832999999001</v>
      </c>
      <c r="G958" t="n">
        <v>0.8935978490374569</v>
      </c>
      <c r="H958" t="n">
        <v>0.0159245118825467</v>
      </c>
      <c r="I958" t="n">
        <v>0.2736001656833424</v>
      </c>
      <c r="J958" t="n">
        <v>0.3645914310298786</v>
      </c>
      <c r="K958" t="n">
        <v>0.1014035643250281</v>
      </c>
      <c r="L958" t="b">
        <v>0</v>
      </c>
      <c r="M958" t="b">
        <v>0</v>
      </c>
      <c r="N958" t="inlineStr">
        <is>
          <t>alt</t>
        </is>
      </c>
      <c r="O958" t="n">
        <v>100</v>
      </c>
      <c r="P958" t="n">
        <v>0.04797</v>
      </c>
      <c r="Q958" t="n">
        <v>100</v>
      </c>
      <c r="R958" t="n">
        <v>0.1064</v>
      </c>
      <c r="S958">
        <f>IMAGE("https://mitra.stanford.edu/kundaje/oak/projects/neuro-variants/variant_position/credible/roussos_2024/variant_figures/roussos_2024.adolescence.Astrocyte/rs4930726_count_position.png",4,220,900)</f>
        <v/>
      </c>
      <c r="T958">
        <f>IMAGE("https://mitra.stanford.edu/kundaje/oak/projects/neuro-variants/variant_position/credible/roussos_2024/variant_figures/roussos_2024.adolescence.Astrocyte/rs4930726_profile_position.png",4,220,900)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0.010977231</v>
      </c>
      <c r="G959" t="n">
        <v>0.3956575601308557</v>
      </c>
      <c r="H959" t="n">
        <v>0.0222558963008676</v>
      </c>
      <c r="I959" t="n">
        <v>0.0957540952720959</v>
      </c>
      <c r="J959" t="n">
        <v>0.2130218378185917</v>
      </c>
      <c r="K959" t="n">
        <v>0.1913503735456417</v>
      </c>
      <c r="L959" t="b">
        <v>0</v>
      </c>
      <c r="M959" t="b">
        <v>0</v>
      </c>
      <c r="N959" t="inlineStr">
        <is>
          <t>alt</t>
        </is>
      </c>
      <c r="O959" t="n">
        <v>-45</v>
      </c>
      <c r="P959" t="n">
        <v>0.001404</v>
      </c>
      <c r="Q959" t="n">
        <v>-30</v>
      </c>
      <c r="R959" t="n">
        <v>0.03052</v>
      </c>
      <c r="S959">
        <f>IMAGE("https://mitra.stanford.edu/kundaje/oak/projects/neuro-variants/variant_position/credible/roussos_2024/variant_figures/roussos_2024.adolescence.Astrocyte/rs7312404_count_position.png",4,220,900)</f>
        <v/>
      </c>
      <c r="T959">
        <f>IMAGE("https://mitra.stanford.edu/kundaje/oak/projects/neuro-variants/variant_position/credible/roussos_2024/variant_figures/roussos_2024.adolescence.Astrocyte/rs7312404_profile_position.png",4,220,900)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-0.0286895302</v>
      </c>
      <c r="G960" t="n">
        <v>0.4236796215182284</v>
      </c>
      <c r="H960" t="n">
        <v>0.0365783335636152</v>
      </c>
      <c r="I960" t="n">
        <v>0.0137919539916158</v>
      </c>
      <c r="J960" t="n">
        <v>0.0715270153992225</v>
      </c>
      <c r="K960" t="n">
        <v>0.385155443731638</v>
      </c>
      <c r="L960" t="b">
        <v>1</v>
      </c>
      <c r="M960" t="b">
        <v>0</v>
      </c>
      <c r="N960" t="inlineStr">
        <is>
          <t>ref</t>
        </is>
      </c>
      <c r="O960" t="n">
        <v>-45</v>
      </c>
      <c r="P960" t="n">
        <v>0.00357</v>
      </c>
      <c r="Q960" t="n">
        <v>-100</v>
      </c>
      <c r="R960" t="n">
        <v>0.05872</v>
      </c>
      <c r="S960">
        <f>IMAGE("https://mitra.stanford.edu/kundaje/oak/projects/neuro-variants/variant_position/credible/roussos_2024/variant_figures/roussos_2024.adolescence.Astrocyte/rs7134121_count_position.png",4,220,900)</f>
        <v/>
      </c>
      <c r="T960">
        <f>IMAGE("https://mitra.stanford.edu/kundaje/oak/projects/neuro-variants/variant_position/credible/roussos_2024/variant_figures/roussos_2024.adolescence.Astrocyte/rs7134121_profile_position.png",4,220,900)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-0.0784966267</v>
      </c>
      <c r="G961" t="n">
        <v>0.130711024648007</v>
      </c>
      <c r="H961" t="n">
        <v>0.0135264696551363</v>
      </c>
      <c r="I961" t="n">
        <v>0.42387836837475</v>
      </c>
      <c r="J961" t="n">
        <v>0.0684998368097795</v>
      </c>
      <c r="K961" t="n">
        <v>0.4000783931898208</v>
      </c>
      <c r="L961" t="b">
        <v>0</v>
      </c>
      <c r="M961" t="b">
        <v>0</v>
      </c>
      <c r="N961" t="inlineStr">
        <is>
          <t>ref</t>
        </is>
      </c>
      <c r="O961" t="n">
        <v>-50</v>
      </c>
      <c r="P961" t="n">
        <v>0.003654</v>
      </c>
      <c r="Q961" t="n">
        <v>-85</v>
      </c>
      <c r="R961" t="n">
        <v>0.1477</v>
      </c>
      <c r="S961">
        <f>IMAGE("https://mitra.stanford.edu/kundaje/oak/projects/neuro-variants/variant_position/credible/roussos_2024/variant_figures/roussos_2024.adolescence.Astrocyte/rs35099862_count_position.png",4,220,900)</f>
        <v/>
      </c>
      <c r="T961">
        <f>IMAGE("https://mitra.stanford.edu/kundaje/oak/projects/neuro-variants/variant_position/credible/roussos_2024/variant_figures/roussos_2024.adolescence.Astrocyte/rs35099862_profile_position.png",4,220,900)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-0.08993277619999999</v>
      </c>
      <c r="G962" t="n">
        <v>0.1008070401882426</v>
      </c>
      <c r="H962" t="n">
        <v>0.0203796944323085</v>
      </c>
      <c r="I962" t="n">
        <v>0.1279909642590342</v>
      </c>
      <c r="J962" t="n">
        <v>0.3088360086639171</v>
      </c>
      <c r="K962" t="n">
        <v>0.1287613941631535</v>
      </c>
      <c r="L962" t="b">
        <v>0</v>
      </c>
      <c r="M962" t="b">
        <v>0</v>
      </c>
      <c r="N962" t="inlineStr">
        <is>
          <t>ref</t>
        </is>
      </c>
      <c r="O962" t="n">
        <v>-50</v>
      </c>
      <c r="P962" t="n">
        <v>0.006714</v>
      </c>
      <c r="Q962" t="n">
        <v>-35</v>
      </c>
      <c r="R962" t="n">
        <v>0.03076</v>
      </c>
      <c r="S962">
        <f>IMAGE("https://mitra.stanford.edu/kundaje/oak/projects/neuro-variants/variant_position/credible/roussos_2024/variant_figures/roussos_2024.adolescence.Astrocyte/rs7978610_count_position.png",4,220,900)</f>
        <v/>
      </c>
      <c r="T962">
        <f>IMAGE("https://mitra.stanford.edu/kundaje/oak/projects/neuro-variants/variant_position/credible/roussos_2024/variant_figures/roussos_2024.adolescence.Astrocyte/rs7978610_profile_position.png",4,220,900)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0.0033401499199999</v>
      </c>
      <c r="G963" t="n">
        <v>0.8846485391382332</v>
      </c>
      <c r="H963" t="n">
        <v>0.0386113609232665</v>
      </c>
      <c r="I963" t="n">
        <v>0.0112242863560331</v>
      </c>
      <c r="J963" t="n">
        <v>0.0149756698216775</v>
      </c>
      <c r="K963" t="n">
        <v>0.6206074289094793</v>
      </c>
      <c r="L963" t="b">
        <v>1</v>
      </c>
      <c r="M963" t="b">
        <v>0</v>
      </c>
      <c r="N963" t="inlineStr">
        <is>
          <t>alt</t>
        </is>
      </c>
      <c r="O963" t="n">
        <v>75</v>
      </c>
      <c r="P963" t="n">
        <v>0.002884</v>
      </c>
      <c r="Q963" t="n">
        <v>60</v>
      </c>
      <c r="R963" t="n">
        <v>0.1646</v>
      </c>
      <c r="S963">
        <f>IMAGE("https://mitra.stanford.edu/kundaje/oak/projects/neuro-variants/variant_position/credible/roussos_2024/variant_figures/roussos_2024.adolescence.Astrocyte/rs11837287_count_position.png",4,220,900)</f>
        <v/>
      </c>
      <c r="T963">
        <f>IMAGE("https://mitra.stanford.edu/kundaje/oak/projects/neuro-variants/variant_position/credible/roussos_2024/variant_figures/roussos_2024.adolescence.Astrocyte/rs11837287_profile_position.png",4,220,900)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-0.0434024632</v>
      </c>
      <c r="G964" t="n">
        <v>0.3494864122175815</v>
      </c>
      <c r="H964" t="n">
        <v>0.0178785812655276</v>
      </c>
      <c r="I964" t="n">
        <v>0.2028358535061716</v>
      </c>
      <c r="J964" t="n">
        <v>0.0338819986351363</v>
      </c>
      <c r="K964" t="n">
        <v>0.5042034901339004</v>
      </c>
      <c r="L964" t="b">
        <v>0</v>
      </c>
      <c r="M964" t="b">
        <v>0</v>
      </c>
      <c r="N964" t="inlineStr">
        <is>
          <t>ref</t>
        </is>
      </c>
      <c r="O964" t="n">
        <v>-5</v>
      </c>
      <c r="P964" t="n">
        <v>0.0008116</v>
      </c>
      <c r="Q964" t="n">
        <v>35</v>
      </c>
      <c r="R964" t="n">
        <v>0.0974</v>
      </c>
      <c r="S964">
        <f>IMAGE("https://mitra.stanford.edu/kundaje/oak/projects/neuro-variants/variant_position/credible/roussos_2024/variant_figures/roussos_2024.adolescence.Astrocyte/rs7307277_count_position.png",4,220,900)</f>
        <v/>
      </c>
      <c r="T964">
        <f>IMAGE("https://mitra.stanford.edu/kundaje/oak/projects/neuro-variants/variant_position/credible/roussos_2024/variant_figures/roussos_2024.adolescence.Astrocyte/rs7307277_profile_position.png",4,220,900)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-0.366779652</v>
      </c>
      <c r="G965" t="n">
        <v>0.0040370335622334</v>
      </c>
      <c r="H965" t="n">
        <v>0.0824757007032878</v>
      </c>
      <c r="I965" t="n">
        <v>0.0009696819234095</v>
      </c>
      <c r="J965" t="n">
        <v>0.4204736967035575</v>
      </c>
      <c r="K965" t="n">
        <v>0.08126197483602191</v>
      </c>
      <c r="L965" t="b">
        <v>1</v>
      </c>
      <c r="M965" t="b">
        <v>1</v>
      </c>
      <c r="N965" t="inlineStr">
        <is>
          <t>ref</t>
        </is>
      </c>
      <c r="O965" t="n">
        <v>55</v>
      </c>
      <c r="P965" t="n">
        <v>0.00537</v>
      </c>
      <c r="Q965" t="n">
        <v>55</v>
      </c>
      <c r="R965" t="n">
        <v>0.1333</v>
      </c>
      <c r="S965">
        <f>IMAGE("https://mitra.stanford.edu/kundaje/oak/projects/neuro-variants/variant_position/credible/roussos_2024/variant_figures/roussos_2024.adolescence.Astrocyte/rs12833624_count_position.png",4,220,900)</f>
        <v/>
      </c>
      <c r="T965">
        <f>IMAGE("https://mitra.stanford.edu/kundaje/oak/projects/neuro-variants/variant_position/credible/roussos_2024/variant_figures/roussos_2024.adolescence.Astrocyte/rs12833624_profile_position.png",4,220,900)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-0.1841367119999999</v>
      </c>
      <c r="G966" t="n">
        <v>0.0257812053900962</v>
      </c>
      <c r="H966" t="n">
        <v>0.0276961235457843</v>
      </c>
      <c r="I966" t="n">
        <v>0.044637386128653</v>
      </c>
      <c r="J966" t="n">
        <v>0.1539314007655104</v>
      </c>
      <c r="K966" t="n">
        <v>0.2503563751885032</v>
      </c>
      <c r="L966" t="b">
        <v>0</v>
      </c>
      <c r="M966" t="b">
        <v>0</v>
      </c>
      <c r="N966" t="inlineStr">
        <is>
          <t>ref</t>
        </is>
      </c>
      <c r="O966" t="n">
        <v>-100</v>
      </c>
      <c r="P966" t="n">
        <v>0.02017</v>
      </c>
      <c r="Q966" t="n">
        <v>100</v>
      </c>
      <c r="R966" t="n">
        <v>0.11816</v>
      </c>
      <c r="S966">
        <f>IMAGE("https://mitra.stanford.edu/kundaje/oak/projects/neuro-variants/variant_position/credible/roussos_2024/variant_figures/roussos_2024.adolescence.Astrocyte/rs34114498_count_position.png",4,220,900)</f>
        <v/>
      </c>
      <c r="T966">
        <f>IMAGE("https://mitra.stanford.edu/kundaje/oak/projects/neuro-variants/variant_position/credible/roussos_2024/variant_figures/roussos_2024.adolescence.Astrocyte/rs34114498_profile_position.png",4,220,900)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-0.0270086654</v>
      </c>
      <c r="G967" t="n">
        <v>0.4662176654975404</v>
      </c>
      <c r="H967" t="n">
        <v>0.0146239906286109</v>
      </c>
      <c r="I967" t="n">
        <v>0.3494093695148302</v>
      </c>
      <c r="J967" t="n">
        <v>0.1737182149956976</v>
      </c>
      <c r="K967" t="n">
        <v>0.2294988400268022</v>
      </c>
      <c r="L967" t="b">
        <v>0</v>
      </c>
      <c r="M967" t="b">
        <v>0</v>
      </c>
      <c r="N967" t="inlineStr">
        <is>
          <t>ref</t>
        </is>
      </c>
      <c r="O967" t="n">
        <v>-100</v>
      </c>
      <c r="P967" t="n">
        <v>0.01022</v>
      </c>
      <c r="Q967" t="n">
        <v>100</v>
      </c>
      <c r="R967" t="n">
        <v>0.1626</v>
      </c>
      <c r="S967">
        <f>IMAGE("https://mitra.stanford.edu/kundaje/oak/projects/neuro-variants/variant_position/credible/roussos_2024/variant_figures/roussos_2024.adolescence.Astrocyte/rs12303671_count_position.png",4,220,900)</f>
        <v/>
      </c>
      <c r="T967">
        <f>IMAGE("https://mitra.stanford.edu/kundaje/oak/projects/neuro-variants/variant_position/credible/roussos_2024/variant_figures/roussos_2024.adolescence.Astrocyte/rs12303671_profile_position.png",4,220,900)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-0.074719986</v>
      </c>
      <c r="G968" t="n">
        <v>0.1424096625428894</v>
      </c>
      <c r="H968" t="n">
        <v>0.0112087070120183</v>
      </c>
      <c r="I968" t="n">
        <v>0.6362400850221729</v>
      </c>
      <c r="J968" t="n">
        <v>0.001648221226597</v>
      </c>
      <c r="K968" t="n">
        <v>0.8457903020110854</v>
      </c>
      <c r="L968" t="b">
        <v>0</v>
      </c>
      <c r="M968" t="b">
        <v>0</v>
      </c>
      <c r="N968" t="inlineStr">
        <is>
          <t>ref</t>
        </is>
      </c>
      <c r="O968" t="n">
        <v>-35</v>
      </c>
      <c r="P968" t="n">
        <v>0.0121</v>
      </c>
      <c r="Q968" t="n">
        <v>-85</v>
      </c>
      <c r="R968" t="n">
        <v>0.04483</v>
      </c>
      <c r="S968">
        <f>IMAGE("https://mitra.stanford.edu/kundaje/oak/projects/neuro-variants/variant_position/credible/roussos_2024/variant_figures/roussos_2024.adolescence.Astrocyte/rs7992065_count_position.png",4,220,900)</f>
        <v/>
      </c>
      <c r="T968">
        <f>IMAGE("https://mitra.stanford.edu/kundaje/oak/projects/neuro-variants/variant_position/credible/roussos_2024/variant_figures/roussos_2024.adolescence.Astrocyte/rs7992065_profile_position.png",4,220,900)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-0.0205425359119999</v>
      </c>
      <c r="G969" t="n">
        <v>0.5972723600854046</v>
      </c>
      <c r="H969" t="n">
        <v>0.0289448018668497</v>
      </c>
      <c r="I969" t="n">
        <v>0.0360144319998373</v>
      </c>
      <c r="J969" t="n">
        <v>0.0326039224994807</v>
      </c>
      <c r="K969" t="n">
        <v>0.5060757711663677</v>
      </c>
      <c r="L969" t="b">
        <v>0</v>
      </c>
      <c r="M969" t="b">
        <v>0</v>
      </c>
      <c r="N969" t="inlineStr">
        <is>
          <t>ref</t>
        </is>
      </c>
      <c r="O969" t="n">
        <v>-60</v>
      </c>
      <c r="P969" t="n">
        <v>0.0283</v>
      </c>
      <c r="Q969" t="n">
        <v>-60</v>
      </c>
      <c r="R969" t="n">
        <v>0.0752</v>
      </c>
      <c r="S969">
        <f>IMAGE("https://mitra.stanford.edu/kundaje/oak/projects/neuro-variants/variant_position/credible/roussos_2024/variant_figures/roussos_2024.adolescence.Astrocyte/rs9567419_count_position.png",4,220,900)</f>
        <v/>
      </c>
      <c r="T969">
        <f>IMAGE("https://mitra.stanford.edu/kundaje/oak/projects/neuro-variants/variant_position/credible/roussos_2024/variant_figures/roussos_2024.adolescence.Astrocyte/rs9567419_profile_position.png",4,220,900)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0.0726227042</v>
      </c>
      <c r="G970" t="n">
        <v>0.1407168415983292</v>
      </c>
      <c r="H970" t="n">
        <v>0.0125783000091186</v>
      </c>
      <c r="I970" t="n">
        <v>0.4992989657433416</v>
      </c>
      <c r="J970" t="n">
        <v>0.0442927929264456</v>
      </c>
      <c r="K970" t="n">
        <v>0.4589937591008524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0.027</v>
      </c>
      <c r="Q970" t="n">
        <v>-85</v>
      </c>
      <c r="R970" t="n">
        <v>0.1812</v>
      </c>
      <c r="S970">
        <f>IMAGE("https://mitra.stanford.edu/kundaje/oak/projects/neuro-variants/variant_position/credible/roussos_2024/variant_figures/roussos_2024.adolescence.Astrocyte/rs9567420_count_position.png",4,220,900)</f>
        <v/>
      </c>
      <c r="T970">
        <f>IMAGE("https://mitra.stanford.edu/kundaje/oak/projects/neuro-variants/variant_position/credible/roussos_2024/variant_figures/roussos_2024.adolescence.Astrocyte/rs9567420_profile_position.png",4,220,900)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-0.0544015218</v>
      </c>
      <c r="G971" t="n">
        <v>0.2286210982023563</v>
      </c>
      <c r="H971" t="n">
        <v>0.0224236598910883</v>
      </c>
      <c r="I971" t="n">
        <v>0.09581942758545831</v>
      </c>
      <c r="J971" t="n">
        <v>0.051772097439397</v>
      </c>
      <c r="K971" t="n">
        <v>0.4324334350851721</v>
      </c>
      <c r="L971" t="b">
        <v>0</v>
      </c>
      <c r="M971" t="b">
        <v>0</v>
      </c>
      <c r="N971" t="inlineStr">
        <is>
          <t>ref</t>
        </is>
      </c>
      <c r="O971" t="n">
        <v>70</v>
      </c>
      <c r="P971" t="n">
        <v>0.03757</v>
      </c>
      <c r="Q971" t="n">
        <v>-90</v>
      </c>
      <c r="R971" t="n">
        <v>0.1648</v>
      </c>
      <c r="S971">
        <f>IMAGE("https://mitra.stanford.edu/kundaje/oak/projects/neuro-variants/variant_position/credible/roussos_2024/variant_figures/roussos_2024.adolescence.Astrocyte/rs61750791_count_position.png",4,220,900)</f>
        <v/>
      </c>
      <c r="T971">
        <f>IMAGE("https://mitra.stanford.edu/kundaje/oak/projects/neuro-variants/variant_position/credible/roussos_2024/variant_figures/roussos_2024.adolescence.Astrocyte/rs61750791_profile_position.png",4,220,900)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0.0303232208</v>
      </c>
      <c r="G972" t="n">
        <v>0.3980442777598121</v>
      </c>
      <c r="H972" t="n">
        <v>0.011610714508478</v>
      </c>
      <c r="I972" t="n">
        <v>0.593104461066113</v>
      </c>
      <c r="J972" t="n">
        <v>0.0013789573628459</v>
      </c>
      <c r="K972" t="n">
        <v>0.8619625841959664</v>
      </c>
      <c r="L972" t="b">
        <v>0</v>
      </c>
      <c r="M972" t="b">
        <v>0</v>
      </c>
      <c r="N972" t="inlineStr">
        <is>
          <t>alt</t>
        </is>
      </c>
      <c r="O972" t="n">
        <v>95</v>
      </c>
      <c r="P972" t="n">
        <v>0.00492</v>
      </c>
      <c r="Q972" t="n">
        <v>-95</v>
      </c>
      <c r="R972" t="n">
        <v>0.1963</v>
      </c>
      <c r="S972">
        <f>IMAGE("https://mitra.stanford.edu/kundaje/oak/projects/neuro-variants/variant_position/credible/roussos_2024/variant_figures/roussos_2024.adolescence.Astrocyte/rs4512969_count_position.png",4,220,900)</f>
        <v/>
      </c>
      <c r="T972">
        <f>IMAGE("https://mitra.stanford.edu/kundaje/oak/projects/neuro-variants/variant_position/credible/roussos_2024/variant_figures/roussos_2024.adolescence.Astrocyte/rs4512969_profile_position.png",4,220,900)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-0.0495047986</v>
      </c>
      <c r="G973" t="n">
        <v>0.2392437021220608</v>
      </c>
      <c r="H973" t="n">
        <v>0.009662111659049399</v>
      </c>
      <c r="I973" t="n">
        <v>0.7702968091223039</v>
      </c>
      <c r="J973" t="n">
        <v>0.0112949885766845</v>
      </c>
      <c r="K973" t="n">
        <v>0.6494053984943241</v>
      </c>
      <c r="L973" t="b">
        <v>0</v>
      </c>
      <c r="M973" t="b">
        <v>0</v>
      </c>
      <c r="N973" t="inlineStr">
        <is>
          <t>ref</t>
        </is>
      </c>
      <c r="O973" t="n">
        <v>75</v>
      </c>
      <c r="P973" t="n">
        <v>0.004967</v>
      </c>
      <c r="Q973" t="n">
        <v>-100</v>
      </c>
      <c r="R973" t="n">
        <v>0.0674</v>
      </c>
      <c r="S973">
        <f>IMAGE("https://mitra.stanford.edu/kundaje/oak/projects/neuro-variants/variant_position/credible/roussos_2024/variant_figures/roussos_2024.adolescence.Astrocyte/rs17258158_count_position.png",4,220,900)</f>
        <v/>
      </c>
      <c r="T973">
        <f>IMAGE("https://mitra.stanford.edu/kundaje/oak/projects/neuro-variants/variant_position/credible/roussos_2024/variant_figures/roussos_2024.adolescence.Astrocyte/rs17258158_profile_position.png",4,220,900)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-0.0053352494999999</v>
      </c>
      <c r="G974" t="n">
        <v>0.8135657461073849</v>
      </c>
      <c r="H974" t="n">
        <v>0.0382954619776511</v>
      </c>
      <c r="I974" t="n">
        <v>0.0114016213011086</v>
      </c>
      <c r="J974" t="n">
        <v>0.0038668664510577</v>
      </c>
      <c r="K974" t="n">
        <v>0.7836026140259157</v>
      </c>
      <c r="L974" t="b">
        <v>0</v>
      </c>
      <c r="M974" t="b">
        <v>0</v>
      </c>
      <c r="N974" t="inlineStr">
        <is>
          <t>ref</t>
        </is>
      </c>
      <c r="O974" t="n">
        <v>100</v>
      </c>
      <c r="P974" t="n">
        <v>0.003582</v>
      </c>
      <c r="Q974" t="n">
        <v>100</v>
      </c>
      <c r="R974" t="n">
        <v>0.08984</v>
      </c>
      <c r="S974">
        <f>IMAGE("https://mitra.stanford.edu/kundaje/oak/projects/neuro-variants/variant_position/credible/roussos_2024/variant_figures/roussos_2024.adolescence.Astrocyte/rs73184532_count_position.png",4,220,900)</f>
        <v/>
      </c>
      <c r="T974">
        <f>IMAGE("https://mitra.stanford.edu/kundaje/oak/projects/neuro-variants/variant_position/credible/roussos_2024/variant_figures/roussos_2024.adolescence.Astrocyte/rs73184532_profile_position.png",4,220,900)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-0.1228391168</v>
      </c>
      <c r="G975" t="n">
        <v>0.0709825266045465</v>
      </c>
      <c r="H975" t="n">
        <v>0.0336180957334669</v>
      </c>
      <c r="I975" t="n">
        <v>0.0201589411520063</v>
      </c>
      <c r="J975" t="n">
        <v>0.042749903569415</v>
      </c>
      <c r="K975" t="n">
        <v>0.4753749894646926</v>
      </c>
      <c r="L975" t="b">
        <v>0</v>
      </c>
      <c r="M975" t="b">
        <v>0</v>
      </c>
      <c r="N975" t="inlineStr">
        <is>
          <t>ref</t>
        </is>
      </c>
      <c r="O975" t="n">
        <v>-75</v>
      </c>
      <c r="P975" t="n">
        <v>0.01805</v>
      </c>
      <c r="Q975" t="n">
        <v>-75</v>
      </c>
      <c r="R975" t="n">
        <v>0.2095</v>
      </c>
      <c r="S975">
        <f>IMAGE("https://mitra.stanford.edu/kundaje/oak/projects/neuro-variants/variant_position/credible/roussos_2024/variant_figures/roussos_2024.adolescence.Astrocyte/rs73184537_count_position.png",4,220,900)</f>
        <v/>
      </c>
      <c r="T975">
        <f>IMAGE("https://mitra.stanford.edu/kundaje/oak/projects/neuro-variants/variant_position/credible/roussos_2024/variant_figures/roussos_2024.adolescence.Astrocyte/rs73184537_profile_position.png",4,220,900)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0.0298874962</v>
      </c>
      <c r="G976" t="n">
        <v>0.4030878046182716</v>
      </c>
      <c r="H976" t="n">
        <v>0.0527093175115861</v>
      </c>
      <c r="I976" t="n">
        <v>0.0031737870041064</v>
      </c>
      <c r="J976" t="n">
        <v>0.0005199833842683</v>
      </c>
      <c r="K976" t="n">
        <v>0.9114697400366476</v>
      </c>
      <c r="L976" t="b">
        <v>0</v>
      </c>
      <c r="M976" t="b">
        <v>0</v>
      </c>
      <c r="N976" t="inlineStr">
        <is>
          <t>alt</t>
        </is>
      </c>
      <c r="O976" t="n">
        <v>95</v>
      </c>
      <c r="P976" t="n">
        <v>0.02216</v>
      </c>
      <c r="Q976" t="n">
        <v>-25</v>
      </c>
      <c r="R976" t="n">
        <v>0.03363</v>
      </c>
      <c r="S976">
        <f>IMAGE("https://mitra.stanford.edu/kundaje/oak/projects/neuro-variants/variant_position/credible/roussos_2024/variant_figures/roussos_2024.adolescence.Astrocyte/rs1924300_count_position.png",4,220,900)</f>
        <v/>
      </c>
      <c r="T976">
        <f>IMAGE("https://mitra.stanford.edu/kundaje/oak/projects/neuro-variants/variant_position/credible/roussos_2024/variant_figures/roussos_2024.adolescence.Astrocyte/rs1924300_profile_position.png",4,220,900)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0.0043929843</v>
      </c>
      <c r="G977" t="n">
        <v>0.8129322891378796</v>
      </c>
      <c r="H977" t="n">
        <v>0.00840205750167</v>
      </c>
      <c r="I977" t="n">
        <v>0.9030835964638561</v>
      </c>
      <c r="J977" t="n">
        <v>0.0064704922410467</v>
      </c>
      <c r="K977" t="n">
        <v>0.709129006727517</v>
      </c>
      <c r="L977" t="b">
        <v>0</v>
      </c>
      <c r="M977" t="b">
        <v>0</v>
      </c>
      <c r="N977" t="inlineStr">
        <is>
          <t>alt</t>
        </is>
      </c>
      <c r="O977" t="n">
        <v>-95</v>
      </c>
      <c r="P977" t="n">
        <v>0.006836</v>
      </c>
      <c r="Q977" t="n">
        <v>55</v>
      </c>
      <c r="R977" t="n">
        <v>0.05963</v>
      </c>
      <c r="S977">
        <f>IMAGE("https://mitra.stanford.edu/kundaje/oak/projects/neuro-variants/variant_position/credible/roussos_2024/variant_figures/roussos_2024.adolescence.Astrocyte/rs12858218_count_position.png",4,220,900)</f>
        <v/>
      </c>
      <c r="T977">
        <f>IMAGE("https://mitra.stanford.edu/kundaje/oak/projects/neuro-variants/variant_position/credible/roussos_2024/variant_figures/roussos_2024.adolescence.Astrocyte/rs12858218_profile_position.png",4,220,900)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-0.058667597</v>
      </c>
      <c r="G978" t="n">
        <v>0.2147147352234223</v>
      </c>
      <c r="H978" t="n">
        <v>0.0261289237751408</v>
      </c>
      <c r="I978" t="n">
        <v>0.0537160937503839</v>
      </c>
      <c r="J978" t="n">
        <v>0.0032044625107556</v>
      </c>
      <c r="K978" t="n">
        <v>0.7855346116838565</v>
      </c>
      <c r="L978" t="b">
        <v>0</v>
      </c>
      <c r="M978" t="b">
        <v>0</v>
      </c>
      <c r="N978" t="inlineStr">
        <is>
          <t>ref</t>
        </is>
      </c>
      <c r="O978" t="n">
        <v>-35</v>
      </c>
      <c r="P978" t="n">
        <v>0.01237</v>
      </c>
      <c r="Q978" t="n">
        <v>-25</v>
      </c>
      <c r="R978" t="n">
        <v>0.06683</v>
      </c>
      <c r="S978">
        <f>IMAGE("https://mitra.stanford.edu/kundaje/oak/projects/neuro-variants/variant_position/credible/roussos_2024/variant_figures/roussos_2024.adolescence.Astrocyte/rs2025402_count_position.png",4,220,900)</f>
        <v/>
      </c>
      <c r="T978">
        <f>IMAGE("https://mitra.stanford.edu/kundaje/oak/projects/neuro-variants/variant_position/credible/roussos_2024/variant_figures/roussos_2024.adolescence.Astrocyte/rs2025402_profile_position.png",4,220,900)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0.1194230932</v>
      </c>
      <c r="G979" t="n">
        <v>0.0604948406207045</v>
      </c>
      <c r="H979" t="n">
        <v>0.0139560975218788</v>
      </c>
      <c r="I979" t="n">
        <v>0.3946851285903936</v>
      </c>
      <c r="J979" t="n">
        <v>5.489125597127853e-05</v>
      </c>
      <c r="K979" t="n">
        <v>0.9927561669106078</v>
      </c>
      <c r="L979" t="b">
        <v>0</v>
      </c>
      <c r="M979" t="b">
        <v>0</v>
      </c>
      <c r="N979" t="inlineStr">
        <is>
          <t>alt</t>
        </is>
      </c>
      <c r="O979" t="n">
        <v>-100</v>
      </c>
      <c r="P979" t="n">
        <v>0.0431</v>
      </c>
      <c r="Q979" t="n">
        <v>-100</v>
      </c>
      <c r="R979" t="n">
        <v>0.1183</v>
      </c>
      <c r="S979">
        <f>IMAGE("https://mitra.stanford.edu/kundaje/oak/projects/neuro-variants/variant_position/credible/roussos_2024/variant_figures/roussos_2024.adolescence.Astrocyte/rs11620255_count_position.png",4,220,900)</f>
        <v/>
      </c>
      <c r="T979">
        <f>IMAGE("https://mitra.stanford.edu/kundaje/oak/projects/neuro-variants/variant_position/credible/roussos_2024/variant_figures/roussos_2024.adolescence.Astrocyte/rs11620255_profile_position.png",4,220,900)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-0.07208394360000001</v>
      </c>
      <c r="G980" t="n">
        <v>0.152518689369598</v>
      </c>
      <c r="H980" t="n">
        <v>0.0154793572762635</v>
      </c>
      <c r="I980" t="n">
        <v>0.3053916691836905</v>
      </c>
      <c r="J980" t="n">
        <v>0.1159117882681066</v>
      </c>
      <c r="K980" t="n">
        <v>0.3045463066420445</v>
      </c>
      <c r="L980" t="b">
        <v>0</v>
      </c>
      <c r="M980" t="b">
        <v>0</v>
      </c>
      <c r="N980" t="inlineStr">
        <is>
          <t>ref</t>
        </is>
      </c>
      <c r="O980" t="n">
        <v>-35</v>
      </c>
      <c r="P980" t="n">
        <v>0.014496</v>
      </c>
      <c r="Q980" t="n">
        <v>-65</v>
      </c>
      <c r="R980" t="n">
        <v>0.04465</v>
      </c>
      <c r="S980">
        <f>IMAGE("https://mitra.stanford.edu/kundaje/oak/projects/neuro-variants/variant_position/credible/roussos_2024/variant_figures/roussos_2024.adolescence.Astrocyte/rs7330208_count_position.png",4,220,900)</f>
        <v/>
      </c>
      <c r="T980">
        <f>IMAGE("https://mitra.stanford.edu/kundaje/oak/projects/neuro-variants/variant_position/credible/roussos_2024/variant_figures/roussos_2024.adolescence.Astrocyte/rs7330208_profile_position.png",4,220,900)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0.1386621608</v>
      </c>
      <c r="G981" t="n">
        <v>0.0454226441217753</v>
      </c>
      <c r="H981" t="n">
        <v>0.0275562166570374</v>
      </c>
      <c r="I981" t="n">
        <v>0.0451078813971012</v>
      </c>
      <c r="J981" t="n">
        <v>0.0041517075631248</v>
      </c>
      <c r="K981" t="n">
        <v>0.7641437168174356</v>
      </c>
      <c r="L981" t="b">
        <v>0</v>
      </c>
      <c r="M981" t="b">
        <v>0</v>
      </c>
      <c r="N981" t="inlineStr">
        <is>
          <t>alt</t>
        </is>
      </c>
      <c r="O981" t="n">
        <v>60</v>
      </c>
      <c r="P981" t="n">
        <v>0.005363</v>
      </c>
      <c r="Q981" t="n">
        <v>40</v>
      </c>
      <c r="R981" t="n">
        <v>0.03796</v>
      </c>
      <c r="S981">
        <f>IMAGE("https://mitra.stanford.edu/kundaje/oak/projects/neuro-variants/variant_position/credible/roussos_2024/variant_figures/roussos_2024.adolescence.Astrocyte/rs9566253_count_position.png",4,220,900)</f>
        <v/>
      </c>
      <c r="T981">
        <f>IMAGE("https://mitra.stanford.edu/kundaje/oak/projects/neuro-variants/variant_position/credible/roussos_2024/variant_figures/roussos_2024.adolescence.Astrocyte/rs9566253_profile_position.png",4,220,900)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-0.07603699039999989</v>
      </c>
      <c r="G982" t="n">
        <v>0.1299932603494089</v>
      </c>
      <c r="H982" t="n">
        <v>0.0147885968895452</v>
      </c>
      <c r="I982" t="n">
        <v>0.334626393874063</v>
      </c>
      <c r="J982" t="n">
        <v>0.0142895291220365</v>
      </c>
      <c r="K982" t="n">
        <v>0.6211169308689488</v>
      </c>
      <c r="L982" t="b">
        <v>0</v>
      </c>
      <c r="M982" t="b">
        <v>0</v>
      </c>
      <c r="N982" t="inlineStr">
        <is>
          <t>ref</t>
        </is>
      </c>
      <c r="O982" t="n">
        <v>70</v>
      </c>
      <c r="P982" t="n">
        <v>0.00344</v>
      </c>
      <c r="Q982" t="n">
        <v>35</v>
      </c>
      <c r="R982" t="n">
        <v>0.1206</v>
      </c>
      <c r="S982">
        <f>IMAGE("https://mitra.stanford.edu/kundaje/oak/projects/neuro-variants/variant_position/credible/roussos_2024/variant_figures/roussos_2024.adolescence.Astrocyte/rs1333376_count_position.png",4,220,900)</f>
        <v/>
      </c>
      <c r="T982">
        <f>IMAGE("https://mitra.stanford.edu/kundaje/oak/projects/neuro-variants/variant_position/credible/roussos_2024/variant_figures/roussos_2024.adolescence.Astrocyte/rs1333376_profile_position.png",4,220,900)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0.0419618488</v>
      </c>
      <c r="G983" t="n">
        <v>0.2865557299079092</v>
      </c>
      <c r="H983" t="n">
        <v>0.012516706294657</v>
      </c>
      <c r="I983" t="n">
        <v>0.5066599320811589</v>
      </c>
      <c r="J983" t="n">
        <v>7.491914666350177e-05</v>
      </c>
      <c r="K983" t="n">
        <v>0.9841595484987252</v>
      </c>
      <c r="L983" t="b">
        <v>0</v>
      </c>
      <c r="M983" t="b">
        <v>0</v>
      </c>
      <c r="N983" t="inlineStr">
        <is>
          <t>alt</t>
        </is>
      </c>
      <c r="O983" t="n">
        <v>100</v>
      </c>
      <c r="P983" t="n">
        <v>0.00399</v>
      </c>
      <c r="Q983" t="n">
        <v>-40</v>
      </c>
      <c r="R983" t="n">
        <v>0.0432</v>
      </c>
      <c r="S983">
        <f>IMAGE("https://mitra.stanford.edu/kundaje/oak/projects/neuro-variants/variant_position/credible/roussos_2024/variant_figures/roussos_2024.adolescence.Astrocyte/rs78587501_count_position.png",4,220,900)</f>
        <v/>
      </c>
      <c r="T983">
        <f>IMAGE("https://mitra.stanford.edu/kundaje/oak/projects/neuro-variants/variant_position/credible/roussos_2024/variant_figures/roussos_2024.adolescence.Astrocyte/rs78587501_profile_position.png",4,220,900)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-0.1360294792</v>
      </c>
      <c r="G984" t="n">
        <v>0.0464164359964914</v>
      </c>
      <c r="H984" t="n">
        <v>0.0227058159519607</v>
      </c>
      <c r="I984" t="n">
        <v>0.08899272539338381</v>
      </c>
      <c r="J984" t="n">
        <v>0.0004584161647331</v>
      </c>
      <c r="K984" t="n">
        <v>0.9486902023332452</v>
      </c>
      <c r="L984" t="b">
        <v>0</v>
      </c>
      <c r="M984" t="b">
        <v>0</v>
      </c>
      <c r="N984" t="inlineStr">
        <is>
          <t>ref</t>
        </is>
      </c>
      <c r="O984" t="n">
        <v>45</v>
      </c>
      <c r="P984" t="n">
        <v>0.010544</v>
      </c>
      <c r="Q984" t="n">
        <v>-35</v>
      </c>
      <c r="R984" t="n">
        <v>0.03732</v>
      </c>
      <c r="S984">
        <f>IMAGE("https://mitra.stanford.edu/kundaje/oak/projects/neuro-variants/variant_position/credible/roussos_2024/variant_figures/roussos_2024.adolescence.Astrocyte/rs2652578_count_position.png",4,220,900)</f>
        <v/>
      </c>
      <c r="T984">
        <f>IMAGE("https://mitra.stanford.edu/kundaje/oak/projects/neuro-variants/variant_position/credible/roussos_2024/variant_figures/roussos_2024.adolescence.Astrocyte/rs2652578_profile_position.png",4,220,900)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-0.181034272</v>
      </c>
      <c r="G985" t="n">
        <v>0.0235784239590282</v>
      </c>
      <c r="H985" t="n">
        <v>0.0297139000140769</v>
      </c>
      <c r="I985" t="n">
        <v>0.0328850129438558</v>
      </c>
      <c r="J985" t="n">
        <v>0.0010785390024626</v>
      </c>
      <c r="K985" t="n">
        <v>0.8918735435417988</v>
      </c>
      <c r="L985" t="b">
        <v>0</v>
      </c>
      <c r="M985" t="b">
        <v>0</v>
      </c>
      <c r="N985" t="inlineStr">
        <is>
          <t>ref</t>
        </is>
      </c>
      <c r="O985" t="n">
        <v>-100</v>
      </c>
      <c r="P985" t="n">
        <v>0.009010000000000001</v>
      </c>
      <c r="Q985" t="n">
        <v>-100</v>
      </c>
      <c r="R985" t="n">
        <v>0.4214</v>
      </c>
      <c r="S985">
        <f>IMAGE("https://mitra.stanford.edu/kundaje/oak/projects/neuro-variants/variant_position/credible/roussos_2024/variant_figures/roussos_2024.adolescence.Astrocyte/rs9548286_count_position.png",4,220,900)</f>
        <v/>
      </c>
      <c r="T985">
        <f>IMAGE("https://mitra.stanford.edu/kundaje/oak/projects/neuro-variants/variant_position/credible/roussos_2024/variant_figures/roussos_2024.adolescence.Astrocyte/rs9548286_profile_position.png",4,220,900)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0.00807829058</v>
      </c>
      <c r="G986" t="n">
        <v>0.7009250378342827</v>
      </c>
      <c r="H986" t="n">
        <v>0.041440817682187</v>
      </c>
      <c r="I986" t="n">
        <v>0.0083921361304905</v>
      </c>
      <c r="J986" t="n">
        <v>5.414948224193691e-05</v>
      </c>
      <c r="K986" t="n">
        <v>0.991190896724622</v>
      </c>
      <c r="L986" t="b">
        <v>0</v>
      </c>
      <c r="M986" t="b">
        <v>0</v>
      </c>
      <c r="N986" t="inlineStr">
        <is>
          <t>alt</t>
        </is>
      </c>
      <c r="O986" t="n">
        <v>-80</v>
      </c>
      <c r="P986" t="n">
        <v>0.002716</v>
      </c>
      <c r="Q986" t="n">
        <v>-75</v>
      </c>
      <c r="R986" t="n">
        <v>0.10876</v>
      </c>
      <c r="S986">
        <f>IMAGE("https://mitra.stanford.edu/kundaje/oak/projects/neuro-variants/variant_position/credible/roussos_2024/variant_figures/roussos_2024.adolescence.Astrocyte/rs665175_count_position.png",4,220,900)</f>
        <v/>
      </c>
      <c r="T986">
        <f>IMAGE("https://mitra.stanford.edu/kundaje/oak/projects/neuro-variants/variant_position/credible/roussos_2024/variant_figures/roussos_2024.adolescence.Astrocyte/rs665175_profile_position.png",4,220,900)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-0.00681101386</v>
      </c>
      <c r="G987" t="n">
        <v>0.8083662682937462</v>
      </c>
      <c r="H987" t="n">
        <v>0.0101987811145843</v>
      </c>
      <c r="I987" t="n">
        <v>0.7276915578117723</v>
      </c>
      <c r="J987" t="n">
        <v>0.0057131412633889</v>
      </c>
      <c r="K987" t="n">
        <v>0.7539205721839586</v>
      </c>
      <c r="L987" t="b">
        <v>0</v>
      </c>
      <c r="M987" t="b">
        <v>0</v>
      </c>
      <c r="N987" t="inlineStr">
        <is>
          <t>ref</t>
        </is>
      </c>
      <c r="O987" t="n">
        <v>-80</v>
      </c>
      <c r="P987" t="n">
        <v>0.01128</v>
      </c>
      <c r="Q987" t="n">
        <v>-35</v>
      </c>
      <c r="R987" t="n">
        <v>0.2103</v>
      </c>
      <c r="S987">
        <f>IMAGE("https://mitra.stanford.edu/kundaje/oak/projects/neuro-variants/variant_position/credible/roussos_2024/variant_figures/roussos_2024.adolescence.Astrocyte/rs651360_count_position.png",4,220,900)</f>
        <v/>
      </c>
      <c r="T987">
        <f>IMAGE("https://mitra.stanford.edu/kundaje/oak/projects/neuro-variants/variant_position/credible/roussos_2024/variant_figures/roussos_2024.adolescence.Astrocyte/rs651360_profile_position.png",4,220,900)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-0.0016934740799999</v>
      </c>
      <c r="G988" t="n">
        <v>0.4970894121038484</v>
      </c>
      <c r="H988" t="n">
        <v>0.0219948783085271</v>
      </c>
      <c r="I988" t="n">
        <v>0.0997381438993829</v>
      </c>
      <c r="J988" t="n">
        <v>0.473955582589087</v>
      </c>
      <c r="K988" t="n">
        <v>0.0617048634977217</v>
      </c>
      <c r="L988" t="b">
        <v>0</v>
      </c>
      <c r="M988" t="b">
        <v>0</v>
      </c>
      <c r="N988" t="inlineStr">
        <is>
          <t>ref</t>
        </is>
      </c>
      <c r="O988" t="n">
        <v>-10</v>
      </c>
      <c r="P988" t="n">
        <v>0.0006104</v>
      </c>
      <c r="Q988" t="n">
        <v>-5</v>
      </c>
      <c r="R988" t="n">
        <v>0.01465</v>
      </c>
      <c r="S988">
        <f>IMAGE("https://mitra.stanford.edu/kundaje/oak/projects/neuro-variants/variant_position/credible/roussos_2024/variant_figures/roussos_2024.adolescence.Astrocyte/rs7322623_count_position.png",4,220,900)</f>
        <v/>
      </c>
      <c r="T988">
        <f>IMAGE("https://mitra.stanford.edu/kundaje/oak/projects/neuro-variants/variant_position/credible/roussos_2024/variant_figures/roussos_2024.adolescence.Astrocyte/rs7322623_profile_position.png",4,220,900)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-0.0494745788</v>
      </c>
      <c r="G989" t="n">
        <v>0.237617670596179</v>
      </c>
      <c r="H989" t="n">
        <v>0.0139436403369483</v>
      </c>
      <c r="I989" t="n">
        <v>0.3923063426328464</v>
      </c>
      <c r="J989" t="n">
        <v>0.0037081268729785</v>
      </c>
      <c r="K989" t="n">
        <v>0.7849170083803688</v>
      </c>
      <c r="L989" t="b">
        <v>0</v>
      </c>
      <c r="M989" t="b">
        <v>0</v>
      </c>
      <c r="N989" t="inlineStr">
        <is>
          <t>ref</t>
        </is>
      </c>
      <c r="O989" t="n">
        <v>-25</v>
      </c>
      <c r="P989" t="n">
        <v>0.001389</v>
      </c>
      <c r="Q989" t="n">
        <v>55</v>
      </c>
      <c r="R989" t="n">
        <v>0.03455</v>
      </c>
      <c r="S989">
        <f>IMAGE("https://mitra.stanford.edu/kundaje/oak/projects/neuro-variants/variant_position/credible/roussos_2024/variant_figures/roussos_2024.adolescence.Astrocyte/rs276423_count_position.png",4,220,900)</f>
        <v/>
      </c>
      <c r="T989">
        <f>IMAGE("https://mitra.stanford.edu/kundaje/oak/projects/neuro-variants/variant_position/credible/roussos_2024/variant_figures/roussos_2024.adolescence.Astrocyte/rs276423_profile_position.png",4,220,900)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-0.0904722552</v>
      </c>
      <c r="G990" t="n">
        <v>0.097669422756729</v>
      </c>
      <c r="H990" t="n">
        <v>0.0170527960817566</v>
      </c>
      <c r="I990" t="n">
        <v>0.2266812166435015</v>
      </c>
      <c r="J990" t="n">
        <v>0.0109448713764352</v>
      </c>
      <c r="K990" t="n">
        <v>0.6627023841328191</v>
      </c>
      <c r="L990" t="b">
        <v>0</v>
      </c>
      <c r="M990" t="b">
        <v>0</v>
      </c>
      <c r="N990" t="inlineStr">
        <is>
          <t>ref</t>
        </is>
      </c>
      <c r="O990" t="n">
        <v>-5</v>
      </c>
      <c r="P990" t="n">
        <v>0.001816</v>
      </c>
      <c r="Q990" t="n">
        <v>-100</v>
      </c>
      <c r="R990" t="n">
        <v>0.1058</v>
      </c>
      <c r="S990">
        <f>IMAGE("https://mitra.stanford.edu/kundaje/oak/projects/neuro-variants/variant_position/credible/roussos_2024/variant_figures/roussos_2024.adolescence.Astrocyte/rs277293_count_position.png",4,220,900)</f>
        <v/>
      </c>
      <c r="T990">
        <f>IMAGE("https://mitra.stanford.edu/kundaje/oak/projects/neuro-variants/variant_position/credible/roussos_2024/variant_figures/roussos_2024.adolescence.Astrocyte/rs277293_profile_position.png",4,220,900)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-0.0585568922</v>
      </c>
      <c r="G991" t="n">
        <v>0.1946424052753975</v>
      </c>
      <c r="H991" t="n">
        <v>0.0201776233738379</v>
      </c>
      <c r="I991" t="n">
        <v>0.1384421609785026</v>
      </c>
      <c r="J991" t="n">
        <v>0.0269174850903479</v>
      </c>
      <c r="K991" t="n">
        <v>0.5312740475793922</v>
      </c>
      <c r="L991" t="b">
        <v>0</v>
      </c>
      <c r="M991" t="b">
        <v>0</v>
      </c>
      <c r="N991" t="inlineStr">
        <is>
          <t>ref</t>
        </is>
      </c>
      <c r="O991" t="n">
        <v>-35</v>
      </c>
      <c r="P991" t="n">
        <v>0.005676</v>
      </c>
      <c r="Q991" t="n">
        <v>40</v>
      </c>
      <c r="R991" t="n">
        <v>0.07043000000000001</v>
      </c>
      <c r="S991">
        <f>IMAGE("https://mitra.stanford.edu/kundaje/oak/projects/neuro-variants/variant_position/credible/roussos_2024/variant_figures/roussos_2024.adolescence.Astrocyte/rs9567243_count_position.png",4,220,900)</f>
        <v/>
      </c>
      <c r="T991">
        <f>IMAGE("https://mitra.stanford.edu/kundaje/oak/projects/neuro-variants/variant_position/credible/roussos_2024/variant_figures/roussos_2024.adolescence.Astrocyte/rs9567243_profile_position.png",4,220,900)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-0.07051198259999999</v>
      </c>
      <c r="G992" t="n">
        <v>0.147916142603345</v>
      </c>
      <c r="H992" t="n">
        <v>0.0102201729662486</v>
      </c>
      <c r="I992" t="n">
        <v>0.7194559463244481</v>
      </c>
      <c r="J992" t="n">
        <v>0.011194107349494</v>
      </c>
      <c r="K992" t="n">
        <v>0.6462392688205396</v>
      </c>
      <c r="L992" t="b">
        <v>0</v>
      </c>
      <c r="M992" t="b">
        <v>0</v>
      </c>
      <c r="N992" t="inlineStr">
        <is>
          <t>ref</t>
        </is>
      </c>
      <c r="O992" t="n">
        <v>85</v>
      </c>
      <c r="P992" t="n">
        <v>0.001335</v>
      </c>
      <c r="Q992" t="n">
        <v>100</v>
      </c>
      <c r="R992" t="n">
        <v>0.04636</v>
      </c>
      <c r="S992">
        <f>IMAGE("https://mitra.stanford.edu/kundaje/oak/projects/neuro-variants/variant_position/credible/roussos_2024/variant_figures/roussos_2024.adolescence.Astrocyte/rs12864863_count_position.png",4,220,900)</f>
        <v/>
      </c>
      <c r="T992">
        <f>IMAGE("https://mitra.stanford.edu/kundaje/oak/projects/neuro-variants/variant_position/credible/roussos_2024/variant_figures/roussos_2024.adolescence.Astrocyte/rs12864863_profile_position.png",4,220,900)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0.0342897526</v>
      </c>
      <c r="G993" t="n">
        <v>0.3472581774267458</v>
      </c>
      <c r="H993" t="n">
        <v>0.0131759255171328</v>
      </c>
      <c r="I993" t="n">
        <v>0.4467195968202632</v>
      </c>
      <c r="J993" t="n">
        <v>0.06968148236062061</v>
      </c>
      <c r="K993" t="n">
        <v>0.3826559208466129</v>
      </c>
      <c r="L993" t="b">
        <v>0</v>
      </c>
      <c r="M993" t="b">
        <v>0</v>
      </c>
      <c r="N993" t="inlineStr">
        <is>
          <t>alt</t>
        </is>
      </c>
      <c r="O993" t="n">
        <v>-20</v>
      </c>
      <c r="P993" t="n">
        <v>0.0006967</v>
      </c>
      <c r="Q993" t="n">
        <v>-40</v>
      </c>
      <c r="R993" t="n">
        <v>0.06064</v>
      </c>
      <c r="S993">
        <f>IMAGE("https://mitra.stanford.edu/kundaje/oak/projects/neuro-variants/variant_position/credible/roussos_2024/variant_figures/roussos_2024.adolescence.Astrocyte/rs11147926_count_position.png",4,220,900)</f>
        <v/>
      </c>
      <c r="T993">
        <f>IMAGE("https://mitra.stanford.edu/kundaje/oak/projects/neuro-variants/variant_position/credible/roussos_2024/variant_figures/roussos_2024.adolescence.Astrocyte/rs11147926_profile_position.png",4,220,900)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0.0610926117999999</v>
      </c>
      <c r="G994" t="n">
        <v>0.1816880491919339</v>
      </c>
      <c r="H994" t="n">
        <v>0.0144923414972747</v>
      </c>
      <c r="I994" t="n">
        <v>0.3558641428039409</v>
      </c>
      <c r="J994" t="n">
        <v>0.0104501082989644</v>
      </c>
      <c r="K994" t="n">
        <v>0.6576212747916836</v>
      </c>
      <c r="L994" t="b">
        <v>0</v>
      </c>
      <c r="M994" t="b">
        <v>0</v>
      </c>
      <c r="N994" t="inlineStr">
        <is>
          <t>alt</t>
        </is>
      </c>
      <c r="O994" t="n">
        <v>-40</v>
      </c>
      <c r="P994" t="n">
        <v>0.004547</v>
      </c>
      <c r="Q994" t="n">
        <v>100</v>
      </c>
      <c r="R994" t="n">
        <v>0.1659</v>
      </c>
      <c r="S994">
        <f>IMAGE("https://mitra.stanford.edu/kundaje/oak/projects/neuro-variants/variant_position/credible/roussos_2024/variant_figures/roussos_2024.adolescence.Astrocyte/rs11619519_count_position.png",4,220,900)</f>
        <v/>
      </c>
      <c r="T994">
        <f>IMAGE("https://mitra.stanford.edu/kundaje/oak/projects/neuro-variants/variant_position/credible/roussos_2024/variant_figures/roussos_2024.adolescence.Astrocyte/rs11619519_profile_position.png",4,220,900)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-0.1021505302</v>
      </c>
      <c r="G995" t="n">
        <v>0.0903780051333999</v>
      </c>
      <c r="H995" t="n">
        <v>0.0139682167602051</v>
      </c>
      <c r="I995" t="n">
        <v>0.3917461608444282</v>
      </c>
      <c r="J995" t="n">
        <v>0.1341386523454884</v>
      </c>
      <c r="K995" t="n">
        <v>0.2757421152205322</v>
      </c>
      <c r="L995" t="b">
        <v>0</v>
      </c>
      <c r="M995" t="b">
        <v>0</v>
      </c>
      <c r="N995" t="inlineStr">
        <is>
          <t>ref</t>
        </is>
      </c>
      <c r="O995" t="n">
        <v>95</v>
      </c>
      <c r="P995" t="n">
        <v>0.0252</v>
      </c>
      <c r="Q995" t="n">
        <v>50</v>
      </c>
      <c r="R995" t="n">
        <v>0.1018</v>
      </c>
      <c r="S995">
        <f>IMAGE("https://mitra.stanford.edu/kundaje/oak/projects/neuro-variants/variant_position/credible/roussos_2024/variant_figures/roussos_2024.adolescence.Astrocyte/rs11147928_count_position.png",4,220,900)</f>
        <v/>
      </c>
      <c r="T995">
        <f>IMAGE("https://mitra.stanford.edu/kundaje/oak/projects/neuro-variants/variant_position/credible/roussos_2024/variant_figures/roussos_2024.adolescence.Astrocyte/rs11147928_profile_position.png",4,220,900)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0.205695258</v>
      </c>
      <c r="G996" t="n">
        <v>0.0160860494979578</v>
      </c>
      <c r="H996" t="n">
        <v>0.0292916903985526</v>
      </c>
      <c r="I996" t="n">
        <v>0.0358335900026171</v>
      </c>
      <c r="J996" t="n">
        <v>0.1928433670593122</v>
      </c>
      <c r="K996" t="n">
        <v>0.2112071722065036</v>
      </c>
      <c r="L996" t="b">
        <v>1</v>
      </c>
      <c r="M996" t="b">
        <v>0</v>
      </c>
      <c r="N996" t="inlineStr">
        <is>
          <t>alt</t>
        </is>
      </c>
      <c r="O996" t="n">
        <v>100</v>
      </c>
      <c r="P996" t="n">
        <v>0.0231</v>
      </c>
      <c r="Q996" t="n">
        <v>40</v>
      </c>
      <c r="R996" t="n">
        <v>0.08057</v>
      </c>
      <c r="S996">
        <f>IMAGE("https://mitra.stanford.edu/kundaje/oak/projects/neuro-variants/variant_position/credible/roussos_2024/variant_figures/roussos_2024.adolescence.Astrocyte/rs10870772_count_position.png",4,220,900)</f>
        <v/>
      </c>
      <c r="T996">
        <f>IMAGE("https://mitra.stanford.edu/kundaje/oak/projects/neuro-variants/variant_position/credible/roussos_2024/variant_figures/roussos_2024.adolescence.Astrocyte/rs10870772_profile_position.png",4,220,900)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0.0278943951999999</v>
      </c>
      <c r="G997" t="n">
        <v>0.4181075259669086</v>
      </c>
      <c r="H997" t="n">
        <v>0.0407450190277898</v>
      </c>
      <c r="I997" t="n">
        <v>0.008984742353752699</v>
      </c>
      <c r="J997" t="n">
        <v>0.0108291546746579</v>
      </c>
      <c r="K997" t="n">
        <v>0.6467449515165794</v>
      </c>
      <c r="L997" t="b">
        <v>1</v>
      </c>
      <c r="M997" t="b">
        <v>0</v>
      </c>
      <c r="N997" t="inlineStr">
        <is>
          <t>alt</t>
        </is>
      </c>
      <c r="O997" t="n">
        <v>-100</v>
      </c>
      <c r="P997" t="n">
        <v>0.005962</v>
      </c>
      <c r="Q997" t="n">
        <v>40</v>
      </c>
      <c r="R997" t="n">
        <v>0.1168</v>
      </c>
      <c r="S997">
        <f>IMAGE("https://mitra.stanford.edu/kundaje/oak/projects/neuro-variants/variant_position/credible/roussos_2024/variant_figures/roussos_2024.adolescence.Astrocyte/rs12872943_count_position.png",4,220,900)</f>
        <v/>
      </c>
      <c r="T997">
        <f>IMAGE("https://mitra.stanford.edu/kundaje/oak/projects/neuro-variants/variant_position/credible/roussos_2024/variant_figures/roussos_2024.adolescence.Astrocyte/rs12872943_profile_position.png",4,220,900)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0.0179978694</v>
      </c>
      <c r="G998" t="n">
        <v>0.5634431187485299</v>
      </c>
      <c r="H998" t="n">
        <v>0.0145619261681843</v>
      </c>
      <c r="I998" t="n">
        <v>0.3512379726634124</v>
      </c>
      <c r="J998" t="n">
        <v>4.079755511378809e-05</v>
      </c>
      <c r="K998" t="n">
        <v>0.9969506300820976</v>
      </c>
      <c r="L998" t="b">
        <v>0</v>
      </c>
      <c r="M998" t="b">
        <v>0</v>
      </c>
      <c r="N998" t="inlineStr">
        <is>
          <t>alt</t>
        </is>
      </c>
      <c r="O998" t="n">
        <v>-100</v>
      </c>
      <c r="P998" t="n">
        <v>0.01352</v>
      </c>
      <c r="Q998" t="n">
        <v>40</v>
      </c>
      <c r="R998" t="n">
        <v>0.04587</v>
      </c>
      <c r="S998">
        <f>IMAGE("https://mitra.stanford.edu/kundaje/oak/projects/neuro-variants/variant_position/credible/roussos_2024/variant_figures/roussos_2024.adolescence.Astrocyte/rs2875541_count_position.png",4,220,900)</f>
        <v/>
      </c>
      <c r="T998">
        <f>IMAGE("https://mitra.stanford.edu/kundaje/oak/projects/neuro-variants/variant_position/credible/roussos_2024/variant_figures/roussos_2024.adolescence.Astrocyte/rs2875541_profile_position.png",4,220,900)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-0.0353270412</v>
      </c>
      <c r="G999" t="n">
        <v>0.2063289823802163</v>
      </c>
      <c r="H999" t="n">
        <v>0.0282773818029125</v>
      </c>
      <c r="I999" t="n">
        <v>0.0407188753915802</v>
      </c>
      <c r="J999" t="n">
        <v>0.1232041658012639</v>
      </c>
      <c r="K999" t="n">
        <v>0.2870344352553306</v>
      </c>
      <c r="L999" t="b">
        <v>0</v>
      </c>
      <c r="M999" t="b">
        <v>0</v>
      </c>
      <c r="N999" t="inlineStr">
        <is>
          <t>ref</t>
        </is>
      </c>
      <c r="O999" t="n">
        <v>80</v>
      </c>
      <c r="P999" t="n">
        <v>0.01698</v>
      </c>
      <c r="Q999" t="n">
        <v>15</v>
      </c>
      <c r="R999" t="n">
        <v>0.04346</v>
      </c>
      <c r="S999">
        <f>IMAGE("https://mitra.stanford.edu/kundaje/oak/projects/neuro-variants/variant_position/credible/roussos_2024/variant_figures/roussos_2024.adolescence.Astrocyte/rs4942255_count_position.png",4,220,900)</f>
        <v/>
      </c>
      <c r="T999">
        <f>IMAGE("https://mitra.stanford.edu/kundaje/oak/projects/neuro-variants/variant_position/credible/roussos_2024/variant_figures/roussos_2024.adolescence.Astrocyte/rs4942255_profile_position.png",4,220,900)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-0.00527147534</v>
      </c>
      <c r="G1000" t="n">
        <v>0.8643049561358117</v>
      </c>
      <c r="H1000" t="n">
        <v>0.023621760374256</v>
      </c>
      <c r="I1000" t="n">
        <v>0.0771244469358284</v>
      </c>
      <c r="J1000" t="n">
        <v>0.0185428596860813</v>
      </c>
      <c r="K1000" t="n">
        <v>0.5809335108098262</v>
      </c>
      <c r="L1000" t="b">
        <v>0</v>
      </c>
      <c r="M1000" t="b">
        <v>0</v>
      </c>
      <c r="N1000" t="inlineStr">
        <is>
          <t>ref</t>
        </is>
      </c>
      <c r="O1000" t="n">
        <v>5</v>
      </c>
      <c r="P1000" t="n">
        <v>0.001556</v>
      </c>
      <c r="Q1000" t="n">
        <v>-100</v>
      </c>
      <c r="R1000" t="n">
        <v>0.1353</v>
      </c>
      <c r="S1000">
        <f>IMAGE("https://mitra.stanford.edu/kundaje/oak/projects/neuro-variants/variant_position/credible/roussos_2024/variant_figures/roussos_2024.adolescence.Astrocyte/rs1445557_count_position.png",4,220,900)</f>
        <v/>
      </c>
      <c r="T1000">
        <f>IMAGE("https://mitra.stanford.edu/kundaje/oak/projects/neuro-variants/variant_position/credible/roussos_2024/variant_figures/roussos_2024.adolescence.Astrocyte/rs1445557_profile_position.png",4,220,900)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-0.0210405247</v>
      </c>
      <c r="G1001" t="n">
        <v>0.5264541688422687</v>
      </c>
      <c r="H1001" t="n">
        <v>0.0119939070299116</v>
      </c>
      <c r="I1001" t="n">
        <v>0.5557755235081895</v>
      </c>
      <c r="J1001" t="n">
        <v>0.051650446547785</v>
      </c>
      <c r="K1001" t="n">
        <v>0.4486524903704421</v>
      </c>
      <c r="L1001" t="b">
        <v>0</v>
      </c>
      <c r="M1001" t="b">
        <v>0</v>
      </c>
      <c r="N1001" t="inlineStr">
        <is>
          <t>ref</t>
        </is>
      </c>
      <c r="O1001" t="n">
        <v>-85</v>
      </c>
      <c r="P1001" t="n">
        <v>0.006966</v>
      </c>
      <c r="Q1001" t="n">
        <v>-55</v>
      </c>
      <c r="R1001" t="n">
        <v>0.06506000000000001</v>
      </c>
      <c r="S1001">
        <f>IMAGE("https://mitra.stanford.edu/kundaje/oak/projects/neuro-variants/variant_position/credible/roussos_2024/variant_figures/roussos_2024.adolescence.Astrocyte/rs1373903_count_position.png",4,220,900)</f>
        <v/>
      </c>
      <c r="T1001">
        <f>IMAGE("https://mitra.stanford.edu/kundaje/oak/projects/neuro-variants/variant_position/credible/roussos_2024/variant_figures/roussos_2024.adolescence.Astrocyte/rs1373903_profile_position.png",4,220,900)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0.1315386868</v>
      </c>
      <c r="G1002" t="n">
        <v>0.0492529665040744</v>
      </c>
      <c r="H1002" t="n">
        <v>0.0272926908761342</v>
      </c>
      <c r="I1002" t="n">
        <v>0.0457886695088635</v>
      </c>
      <c r="J1002" t="n">
        <v>0.009881909622288699</v>
      </c>
      <c r="K1002" t="n">
        <v>0.6760058504696329</v>
      </c>
      <c r="L1002" t="b">
        <v>0</v>
      </c>
      <c r="M1002" t="b">
        <v>0</v>
      </c>
      <c r="N1002" t="inlineStr">
        <is>
          <t>alt</t>
        </is>
      </c>
      <c r="O1002" t="n">
        <v>-65</v>
      </c>
      <c r="P1002" t="n">
        <v>0.003418</v>
      </c>
      <c r="Q1002" t="n">
        <v>-100</v>
      </c>
      <c r="R1002" t="n">
        <v>0.1672</v>
      </c>
      <c r="S1002">
        <f>IMAGE("https://mitra.stanford.edu/kundaje/oak/projects/neuro-variants/variant_position/credible/roussos_2024/variant_figures/roussos_2024.adolescence.Astrocyte/rs7994883_count_position.png",4,220,900)</f>
        <v/>
      </c>
      <c r="T1002">
        <f>IMAGE("https://mitra.stanford.edu/kundaje/oak/projects/neuro-variants/variant_position/credible/roussos_2024/variant_figures/roussos_2024.adolescence.Astrocyte/rs7994883_profile_position.png",4,220,900)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0.0442634972</v>
      </c>
      <c r="G1003" t="n">
        <v>0.2179235354302574</v>
      </c>
      <c r="H1003" t="n">
        <v>0.0165862415629239</v>
      </c>
      <c r="I1003" t="n">
        <v>0.2471236064477711</v>
      </c>
      <c r="J1003" t="n">
        <v>0.6897694567249206</v>
      </c>
      <c r="K1003" t="n">
        <v>0.0196479537854221</v>
      </c>
      <c r="L1003" t="b">
        <v>0</v>
      </c>
      <c r="M1003" t="b">
        <v>0</v>
      </c>
      <c r="N1003" t="inlineStr">
        <is>
          <t>alt</t>
        </is>
      </c>
      <c r="O1003" t="n">
        <v>-10</v>
      </c>
      <c r="P1003" t="n">
        <v>0.00107</v>
      </c>
      <c r="Q1003" t="n">
        <v>-75</v>
      </c>
      <c r="R1003" t="n">
        <v>0.1046</v>
      </c>
      <c r="S1003">
        <f>IMAGE("https://mitra.stanford.edu/kundaje/oak/projects/neuro-variants/variant_position/credible/roussos_2024/variant_figures/roussos_2024.adolescence.Astrocyte/rs1359541_count_position.png",4,220,900)</f>
        <v/>
      </c>
      <c r="T1003">
        <f>IMAGE("https://mitra.stanford.edu/kundaje/oak/projects/neuro-variants/variant_position/credible/roussos_2024/variant_figures/roussos_2024.adolescence.Astrocyte/rs1359541_profile_position.png",4,220,900)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-0.0470342286</v>
      </c>
      <c r="G1004" t="n">
        <v>0.2746836084872124</v>
      </c>
      <c r="H1004" t="n">
        <v>0.0155062024297421</v>
      </c>
      <c r="I1004" t="n">
        <v>0.2985913811829929</v>
      </c>
      <c r="J1004" t="n">
        <v>0.0347691600154288</v>
      </c>
      <c r="K1004" t="n">
        <v>0.4938219838709337</v>
      </c>
      <c r="L1004" t="b">
        <v>0</v>
      </c>
      <c r="M1004" t="b">
        <v>0</v>
      </c>
      <c r="N1004" t="inlineStr">
        <is>
          <t>ref</t>
        </is>
      </c>
      <c r="O1004" t="n">
        <v>-90</v>
      </c>
      <c r="P1004" t="n">
        <v>0.00515</v>
      </c>
      <c r="Q1004" t="n">
        <v>-35</v>
      </c>
      <c r="R1004" t="n">
        <v>0.1355</v>
      </c>
      <c r="S1004">
        <f>IMAGE("https://mitra.stanford.edu/kundaje/oak/projects/neuro-variants/variant_position/credible/roussos_2024/variant_figures/roussos_2024.adolescence.Astrocyte/rs9316462_count_position.png",4,220,900)</f>
        <v/>
      </c>
      <c r="T1004">
        <f>IMAGE("https://mitra.stanford.edu/kundaje/oak/projects/neuro-variants/variant_position/credible/roussos_2024/variant_figures/roussos_2024.adolescence.Astrocyte/rs9316462_profile_position.png",4,220,900)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-0.0141239143599999</v>
      </c>
      <c r="G1005" t="n">
        <v>0.6434824508693604</v>
      </c>
      <c r="H1005" t="n">
        <v>0.0211578074516454</v>
      </c>
      <c r="I1005" t="n">
        <v>0.1125946884360409</v>
      </c>
      <c r="J1005" t="n">
        <v>0.0022431237575289</v>
      </c>
      <c r="K1005" t="n">
        <v>0.8274787853078572</v>
      </c>
      <c r="L1005" t="b">
        <v>0</v>
      </c>
      <c r="M1005" t="b">
        <v>0</v>
      </c>
      <c r="N1005" t="inlineStr">
        <is>
          <t>ref</t>
        </is>
      </c>
      <c r="O1005" t="n">
        <v>100</v>
      </c>
      <c r="P1005" t="n">
        <v>0.003304</v>
      </c>
      <c r="Q1005" t="n">
        <v>100</v>
      </c>
      <c r="R1005" t="n">
        <v>0.238</v>
      </c>
      <c r="S1005">
        <f>IMAGE("https://mitra.stanford.edu/kundaje/oak/projects/neuro-variants/variant_position/credible/roussos_2024/variant_figures/roussos_2024.adolescence.Astrocyte/rs4619272_count_position.png",4,220,900)</f>
        <v/>
      </c>
      <c r="T1005">
        <f>IMAGE("https://mitra.stanford.edu/kundaje/oak/projects/neuro-variants/variant_position/credible/roussos_2024/variant_figures/roussos_2024.adolescence.Astrocyte/rs4619272_profile_position.png",4,220,900)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0.0345295778</v>
      </c>
      <c r="G1006" t="n">
        <v>0.17237495513861</v>
      </c>
      <c r="H1006" t="n">
        <v>0.0166433472420598</v>
      </c>
      <c r="I1006" t="n">
        <v>0.2431696968171994</v>
      </c>
      <c r="J1006" t="n">
        <v>0.0276332967391626</v>
      </c>
      <c r="K1006" t="n">
        <v>0.5312098484499596</v>
      </c>
      <c r="L1006" t="b">
        <v>0</v>
      </c>
      <c r="M1006" t="b">
        <v>0</v>
      </c>
      <c r="N1006" t="inlineStr">
        <is>
          <t>alt</t>
        </is>
      </c>
      <c r="O1006" t="n">
        <v>40</v>
      </c>
      <c r="P1006" t="n">
        <v>0.003601</v>
      </c>
      <c r="Q1006" t="n">
        <v>55</v>
      </c>
      <c r="R1006" t="n">
        <v>0.09106</v>
      </c>
      <c r="S1006">
        <f>IMAGE("https://mitra.stanford.edu/kundaje/oak/projects/neuro-variants/variant_position/credible/roussos_2024/variant_figures/roussos_2024.adolescence.Astrocyte/rs7989647_count_position.png",4,220,900)</f>
        <v/>
      </c>
      <c r="T1006">
        <f>IMAGE("https://mitra.stanford.edu/kundaje/oak/projects/neuro-variants/variant_position/credible/roussos_2024/variant_figures/roussos_2024.adolescence.Astrocyte/rs7989647_profile_position.png",4,220,900)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-0.214353052</v>
      </c>
      <c r="G1007" t="n">
        <v>0.0154870305756036</v>
      </c>
      <c r="H1007" t="n">
        <v>0.020101868641055</v>
      </c>
      <c r="I1007" t="n">
        <v>0.1339854492086646</v>
      </c>
      <c r="J1007" t="n">
        <v>0.1082730024033468</v>
      </c>
      <c r="K1007" t="n">
        <v>0.3099618350570837</v>
      </c>
      <c r="L1007" t="b">
        <v>1</v>
      </c>
      <c r="M1007" t="b">
        <v>0</v>
      </c>
      <c r="N1007" t="inlineStr">
        <is>
          <t>ref</t>
        </is>
      </c>
      <c r="O1007" t="n">
        <v>95</v>
      </c>
      <c r="P1007" t="n">
        <v>0.03345</v>
      </c>
      <c r="Q1007" t="n">
        <v>85</v>
      </c>
      <c r="R1007" t="n">
        <v>0.3372</v>
      </c>
      <c r="S1007">
        <f>IMAGE("https://mitra.stanford.edu/kundaje/oak/projects/neuro-variants/variant_position/credible/roussos_2024/variant_figures/roussos_2024.adolescence.Astrocyte/rs2806731_count_position.png",4,220,900)</f>
        <v/>
      </c>
      <c r="T1007">
        <f>IMAGE("https://mitra.stanford.edu/kundaje/oak/projects/neuro-variants/variant_position/credible/roussos_2024/variant_figures/roussos_2024.adolescence.Astrocyte/rs2806731_profile_position.png",4,220,900)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-0.080891492</v>
      </c>
      <c r="G1008" t="n">
        <v>0.1212894705571294</v>
      </c>
      <c r="H1008" t="n">
        <v>0.0133851491683156</v>
      </c>
      <c r="I1008" t="n">
        <v>0.4365464484968049</v>
      </c>
      <c r="J1008" t="n">
        <v>0.0428122125626798</v>
      </c>
      <c r="K1008" t="n">
        <v>0.4673726886479314</v>
      </c>
      <c r="L1008" t="b">
        <v>0</v>
      </c>
      <c r="M1008" t="b">
        <v>0</v>
      </c>
      <c r="N1008" t="inlineStr">
        <is>
          <t>ref</t>
        </is>
      </c>
      <c r="O1008" t="n">
        <v>-95</v>
      </c>
      <c r="P1008" t="n">
        <v>0.01413</v>
      </c>
      <c r="Q1008" t="n">
        <v>-30</v>
      </c>
      <c r="R1008" t="n">
        <v>0.126</v>
      </c>
      <c r="S1008">
        <f>IMAGE("https://mitra.stanford.edu/kundaje/oak/projects/neuro-variants/variant_position/credible/roussos_2024/variant_figures/roussos_2024.adolescence.Astrocyte/rs2806738_count_position.png",4,220,900)</f>
        <v/>
      </c>
      <c r="T1008">
        <f>IMAGE("https://mitra.stanford.edu/kundaje/oak/projects/neuro-variants/variant_position/credible/roussos_2024/variant_figures/roussos_2024.adolescence.Astrocyte/rs2806738_profile_position.png",4,220,900)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-0.048247879866</v>
      </c>
      <c r="G1009" t="n">
        <v>0.2963989707534052</v>
      </c>
      <c r="H1009" t="n">
        <v>0.0128633768532427</v>
      </c>
      <c r="I1009" t="n">
        <v>0.4772964653925584</v>
      </c>
      <c r="J1009" t="n">
        <v>0.0262424709966471</v>
      </c>
      <c r="K1009" t="n">
        <v>0.5381269845173456</v>
      </c>
      <c r="L1009" t="b">
        <v>0</v>
      </c>
      <c r="M1009" t="b">
        <v>0</v>
      </c>
      <c r="N1009" t="inlineStr">
        <is>
          <t>ref</t>
        </is>
      </c>
      <c r="O1009" t="n">
        <v>-25</v>
      </c>
      <c r="P1009" t="n">
        <v>0.003365</v>
      </c>
      <c r="Q1009" t="n">
        <v>25</v>
      </c>
      <c r="R1009" t="n">
        <v>0.05615</v>
      </c>
      <c r="S1009">
        <f>IMAGE("https://mitra.stanford.edu/kundaje/oak/projects/neuro-variants/variant_position/credible/roussos_2024/variant_figures/roussos_2024.adolescence.Astrocyte/rs3120869_count_position.png",4,220,900)</f>
        <v/>
      </c>
      <c r="T1009">
        <f>IMAGE("https://mitra.stanford.edu/kundaje/oak/projects/neuro-variants/variant_position/credible/roussos_2024/variant_figures/roussos_2024.adolescence.Astrocyte/rs3120869_profile_position.png",4,220,900)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0.0018182156119999</v>
      </c>
      <c r="G1010" t="n">
        <v>0.789121505761159</v>
      </c>
      <c r="H1010" t="n">
        <v>0.0118600187135698</v>
      </c>
      <c r="I1010" t="n">
        <v>0.5701174936402867</v>
      </c>
      <c r="J1010" t="n">
        <v>0.0014145625018543</v>
      </c>
      <c r="K1010" t="n">
        <v>0.8745222121436118</v>
      </c>
      <c r="L1010" t="b">
        <v>0</v>
      </c>
      <c r="M1010" t="b">
        <v>0</v>
      </c>
      <c r="N1010" t="inlineStr">
        <is>
          <t>alt</t>
        </is>
      </c>
      <c r="O1010" t="n">
        <v>-100</v>
      </c>
      <c r="P1010" t="n">
        <v>0.01039</v>
      </c>
      <c r="Q1010" t="n">
        <v>-95</v>
      </c>
      <c r="R1010" t="n">
        <v>0.2505</v>
      </c>
      <c r="S1010">
        <f>IMAGE("https://mitra.stanford.edu/kundaje/oak/projects/neuro-variants/variant_position/credible/roussos_2024/variant_figures/roussos_2024.adolescence.Astrocyte/rs9527348_count_position.png",4,220,900)</f>
        <v/>
      </c>
      <c r="T1010">
        <f>IMAGE("https://mitra.stanford.edu/kundaje/oak/projects/neuro-variants/variant_position/credible/roussos_2024/variant_figures/roussos_2024.adolescence.Astrocyte/rs9527348_profile_position.png",4,220,900)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0.185952043</v>
      </c>
      <c r="G1011" t="n">
        <v>0.0235228653305502</v>
      </c>
      <c r="H1011" t="n">
        <v>0.0279339417427903</v>
      </c>
      <c r="I1011" t="n">
        <v>0.0423476329695804</v>
      </c>
      <c r="J1011" t="n">
        <v>0.0401381182684033</v>
      </c>
      <c r="K1011" t="n">
        <v>0.4812493984251006</v>
      </c>
      <c r="L1011" t="b">
        <v>0</v>
      </c>
      <c r="M1011" t="b">
        <v>0</v>
      </c>
      <c r="N1011" t="inlineStr">
        <is>
          <t>alt</t>
        </is>
      </c>
      <c r="O1011" t="n">
        <v>15</v>
      </c>
      <c r="P1011" t="n">
        <v>0.00476</v>
      </c>
      <c r="Q1011" t="n">
        <v>55</v>
      </c>
      <c r="R1011" t="n">
        <v>0.1577</v>
      </c>
      <c r="S1011">
        <f>IMAGE("https://mitra.stanford.edu/kundaje/oak/projects/neuro-variants/variant_position/credible/roussos_2024/variant_figures/roussos_2024.adolescence.Astrocyte/rs3124390_count_position.png",4,220,900)</f>
        <v/>
      </c>
      <c r="T1011">
        <f>IMAGE("https://mitra.stanford.edu/kundaje/oak/projects/neuro-variants/variant_position/credible/roussos_2024/variant_figures/roussos_2024.adolescence.Astrocyte/rs3124390_profile_position.png",4,220,900)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-0.0151351227599999</v>
      </c>
      <c r="G1012" t="n">
        <v>0.6234263642251273</v>
      </c>
      <c r="H1012" t="n">
        <v>0.0140739176896897</v>
      </c>
      <c r="I1012" t="n">
        <v>0.382371790567218</v>
      </c>
      <c r="J1012" t="n">
        <v>0.0464424531940776</v>
      </c>
      <c r="K1012" t="n">
        <v>0.4528615167714589</v>
      </c>
      <c r="L1012" t="b">
        <v>0</v>
      </c>
      <c r="M1012" t="b">
        <v>0</v>
      </c>
      <c r="N1012" t="inlineStr">
        <is>
          <t>ref</t>
        </is>
      </c>
      <c r="O1012" t="n">
        <v>75</v>
      </c>
      <c r="P1012" t="n">
        <v>0.01965</v>
      </c>
      <c r="Q1012" t="n">
        <v>70</v>
      </c>
      <c r="R1012" t="n">
        <v>0.0546</v>
      </c>
      <c r="S1012">
        <f>IMAGE("https://mitra.stanford.edu/kundaje/oak/projects/neuro-variants/variant_position/credible/roussos_2024/variant_figures/roussos_2024.adolescence.Astrocyte/rs9537039_count_position.png",4,220,900)</f>
        <v/>
      </c>
      <c r="T1012">
        <f>IMAGE("https://mitra.stanford.edu/kundaje/oak/projects/neuro-variants/variant_position/credible/roussos_2024/variant_figures/roussos_2024.adolescence.Astrocyte/rs9537039_profile_position.png",4,220,900)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0.0141631335999999</v>
      </c>
      <c r="G1013" t="n">
        <v>0.6369655055686179</v>
      </c>
      <c r="H1013" t="n">
        <v>0.0064045131849013</v>
      </c>
      <c r="I1013" t="n">
        <v>0.980810265341606</v>
      </c>
      <c r="J1013" t="n">
        <v>0.0127088093048096</v>
      </c>
      <c r="K1013" t="n">
        <v>0.6491419649218845</v>
      </c>
      <c r="L1013" t="b">
        <v>0</v>
      </c>
      <c r="M1013" t="b">
        <v>0</v>
      </c>
      <c r="N1013" t="inlineStr">
        <is>
          <t>alt</t>
        </is>
      </c>
      <c r="O1013" t="n">
        <v>-100</v>
      </c>
      <c r="P1013" t="n">
        <v>0.00512</v>
      </c>
      <c r="Q1013" t="n">
        <v>-90</v>
      </c>
      <c r="R1013" t="n">
        <v>0.0667</v>
      </c>
      <c r="S1013">
        <f>IMAGE("https://mitra.stanford.edu/kundaje/oak/projects/neuro-variants/variant_position/credible/roussos_2024/variant_figures/roussos_2024.adolescence.Astrocyte/rs3098275_count_position.png",4,220,900)</f>
        <v/>
      </c>
      <c r="T1013">
        <f>IMAGE("https://mitra.stanford.edu/kundaje/oak/projects/neuro-variants/variant_position/credible/roussos_2024/variant_figures/roussos_2024.adolescence.Astrocyte/rs3098275_profile_position.png",4,220,900)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0.0605423856</v>
      </c>
      <c r="G1014" t="n">
        <v>0.1754575913408666</v>
      </c>
      <c r="H1014" t="n">
        <v>0.0122808389075869</v>
      </c>
      <c r="I1014" t="n">
        <v>0.5232649390133229</v>
      </c>
      <c r="J1014" t="n">
        <v>0.0004339376316647</v>
      </c>
      <c r="K1014" t="n">
        <v>0.923237140423843</v>
      </c>
      <c r="L1014" t="b">
        <v>0</v>
      </c>
      <c r="M1014" t="b">
        <v>0</v>
      </c>
      <c r="N1014" t="inlineStr">
        <is>
          <t>alt</t>
        </is>
      </c>
      <c r="O1014" t="n">
        <v>-35</v>
      </c>
      <c r="P1014" t="n">
        <v>0.011734</v>
      </c>
      <c r="Q1014" t="n">
        <v>100</v>
      </c>
      <c r="R1014" t="n">
        <v>0.0833</v>
      </c>
      <c r="S1014">
        <f>IMAGE("https://mitra.stanford.edu/kundaje/oak/projects/neuro-variants/variant_position/credible/roussos_2024/variant_figures/roussos_2024.adolescence.Astrocyte/rs3098269_count_position.png",4,220,900)</f>
        <v/>
      </c>
      <c r="T1014">
        <f>IMAGE("https://mitra.stanford.edu/kundaje/oak/projects/neuro-variants/variant_position/credible/roussos_2024/variant_figures/roussos_2024.adolescence.Astrocyte/rs3098269_profile_position.png",4,220,900)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-0.004039084616</v>
      </c>
      <c r="G1015" t="n">
        <v>0.8128993060757619</v>
      </c>
      <c r="H1015" t="n">
        <v>0.0411325906332997</v>
      </c>
      <c r="I1015" t="n">
        <v>0.0085973948264729</v>
      </c>
      <c r="J1015" t="n">
        <v>0.0019694092514019</v>
      </c>
      <c r="K1015" t="n">
        <v>0.8236220511361328</v>
      </c>
      <c r="L1015" t="b">
        <v>0</v>
      </c>
      <c r="M1015" t="b">
        <v>0</v>
      </c>
      <c r="N1015" t="inlineStr">
        <is>
          <t>ref</t>
        </is>
      </c>
      <c r="O1015" t="n">
        <v>-25</v>
      </c>
      <c r="P1015" t="n">
        <v>0.002502</v>
      </c>
      <c r="Q1015" t="n">
        <v>100</v>
      </c>
      <c r="R1015" t="n">
        <v>0.07056</v>
      </c>
      <c r="S1015">
        <f>IMAGE("https://mitra.stanford.edu/kundaje/oak/projects/neuro-variants/variant_position/credible/roussos_2024/variant_figures/roussos_2024.adolescence.Astrocyte/rs3098265_count_position.png",4,220,900)</f>
        <v/>
      </c>
      <c r="T1015">
        <f>IMAGE("https://mitra.stanford.edu/kundaje/oak/projects/neuro-variants/variant_position/credible/roussos_2024/variant_figures/roussos_2024.adolescence.Astrocyte/rs3098265_profile_position.png",4,220,900)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-0.009924758239999901</v>
      </c>
      <c r="G1016" t="n">
        <v>0.645254237309848</v>
      </c>
      <c r="H1016" t="n">
        <v>0.0275533635542289</v>
      </c>
      <c r="I1016" t="n">
        <v>0.0441610789325821</v>
      </c>
      <c r="J1016" t="n">
        <v>0.0007506750140936</v>
      </c>
      <c r="K1016" t="n">
        <v>0.937474061747269</v>
      </c>
      <c r="L1016" t="b">
        <v>0</v>
      </c>
      <c r="M1016" t="b">
        <v>0</v>
      </c>
      <c r="N1016" t="inlineStr">
        <is>
          <t>ref</t>
        </is>
      </c>
      <c r="O1016" t="n">
        <v>100</v>
      </c>
      <c r="P1016" t="n">
        <v>0.00485</v>
      </c>
      <c r="Q1016" t="n">
        <v>-90</v>
      </c>
      <c r="R1016" t="n">
        <v>0.09959999999999999</v>
      </c>
      <c r="S1016">
        <f>IMAGE("https://mitra.stanford.edu/kundaje/oak/projects/neuro-variants/variant_position/credible/roussos_2024/variant_figures/roussos_2024.adolescence.Astrocyte/rs3098271_count_position.png",4,220,900)</f>
        <v/>
      </c>
      <c r="T1016">
        <f>IMAGE("https://mitra.stanford.edu/kundaje/oak/projects/neuro-variants/variant_position/credible/roussos_2024/variant_figures/roussos_2024.adolescence.Astrocyte/rs3098271_profile_position.png",4,220,900)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-0.07206897746</v>
      </c>
      <c r="G1017" t="n">
        <v>0.155408756962114</v>
      </c>
      <c r="H1017" t="n">
        <v>0.0223634051422127</v>
      </c>
      <c r="I1017" t="n">
        <v>0.098993788727485</v>
      </c>
      <c r="J1017" t="n">
        <v>0.0077062872741298</v>
      </c>
      <c r="K1017" t="n">
        <v>0.6954935810226398</v>
      </c>
      <c r="L1017" t="b">
        <v>0</v>
      </c>
      <c r="M1017" t="b">
        <v>0</v>
      </c>
      <c r="N1017" t="inlineStr">
        <is>
          <t>ref</t>
        </is>
      </c>
      <c r="O1017" t="n">
        <v>-95</v>
      </c>
      <c r="P1017" t="n">
        <v>0.012054</v>
      </c>
      <c r="Q1017" t="n">
        <v>80</v>
      </c>
      <c r="R1017" t="n">
        <v>0.1392</v>
      </c>
      <c r="S1017">
        <f>IMAGE("https://mitra.stanford.edu/kundaje/oak/projects/neuro-variants/variant_position/credible/roussos_2024/variant_figures/roussos_2024.adolescence.Astrocyte/rs1657205_count_position.png",4,220,900)</f>
        <v/>
      </c>
      <c r="T1017">
        <f>IMAGE("https://mitra.stanford.edu/kundaje/oak/projects/neuro-variants/variant_position/credible/roussos_2024/variant_figures/roussos_2024.adolescence.Astrocyte/rs1657205_profile_position.png",4,220,900)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-0.0538833656</v>
      </c>
      <c r="G1018" t="n">
        <v>0.245744695023856</v>
      </c>
      <c r="H1018" t="n">
        <v>0.0280469265873495</v>
      </c>
      <c r="I1018" t="n">
        <v>0.0407045704771122</v>
      </c>
      <c r="J1018" t="n">
        <v>0.0010088122719045</v>
      </c>
      <c r="K1018" t="n">
        <v>0.8723119471539218</v>
      </c>
      <c r="L1018" t="b">
        <v>0</v>
      </c>
      <c r="M1018" t="b">
        <v>0</v>
      </c>
      <c r="N1018" t="inlineStr">
        <is>
          <t>ref</t>
        </is>
      </c>
      <c r="O1018" t="n">
        <v>-80</v>
      </c>
      <c r="P1018" t="n">
        <v>0.008644000000000001</v>
      </c>
      <c r="Q1018" t="n">
        <v>70</v>
      </c>
      <c r="R1018" t="n">
        <v>0.1123</v>
      </c>
      <c r="S1018">
        <f>IMAGE("https://mitra.stanford.edu/kundaje/oak/projects/neuro-variants/variant_position/credible/roussos_2024/variant_figures/roussos_2024.adolescence.Astrocyte/rs3124426_count_position.png",4,220,900)</f>
        <v/>
      </c>
      <c r="T1018">
        <f>IMAGE("https://mitra.stanford.edu/kundaje/oak/projects/neuro-variants/variant_position/credible/roussos_2024/variant_figures/roussos_2024.adolescence.Astrocyte/rs3124426_profile_position.png",4,220,900)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-0.001713512886</v>
      </c>
      <c r="G1019" t="n">
        <v>0.9030255845239992</v>
      </c>
      <c r="H1019" t="n">
        <v>0.0273647387182896</v>
      </c>
      <c r="I1019" t="n">
        <v>0.0451929886432605</v>
      </c>
      <c r="J1019" t="n">
        <v>0.0110969349909503</v>
      </c>
      <c r="K1019" t="n">
        <v>0.6536532160022388</v>
      </c>
      <c r="L1019" t="b">
        <v>0</v>
      </c>
      <c r="M1019" t="b">
        <v>0</v>
      </c>
      <c r="N1019" t="inlineStr">
        <is>
          <t>ref</t>
        </is>
      </c>
      <c r="O1019" t="n">
        <v>-100</v>
      </c>
      <c r="P1019" t="n">
        <v>0.01416</v>
      </c>
      <c r="Q1019" t="n">
        <v>-100</v>
      </c>
      <c r="R1019" t="n">
        <v>0.3035</v>
      </c>
      <c r="S1019">
        <f>IMAGE("https://mitra.stanford.edu/kundaje/oak/projects/neuro-variants/variant_position/credible/roussos_2024/variant_figures/roussos_2024.adolescence.Astrocyte/rs9537096_count_position.png",4,220,900)</f>
        <v/>
      </c>
      <c r="T1019">
        <f>IMAGE("https://mitra.stanford.edu/kundaje/oak/projects/neuro-variants/variant_position/credible/roussos_2024/variant_figures/roussos_2024.adolescence.Astrocyte/rs9537096_profile_position.png",4,220,900)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-0.02819308578</v>
      </c>
      <c r="G1020" t="n">
        <v>0.4561973604984073</v>
      </c>
      <c r="H1020" t="n">
        <v>0.0127140108259003</v>
      </c>
      <c r="I1020" t="n">
        <v>0.4755549649289248</v>
      </c>
      <c r="J1020" t="n">
        <v>0.0177142984304067</v>
      </c>
      <c r="K1020" t="n">
        <v>0.5891491053642233</v>
      </c>
      <c r="L1020" t="b">
        <v>0</v>
      </c>
      <c r="M1020" t="b">
        <v>0</v>
      </c>
      <c r="N1020" t="inlineStr">
        <is>
          <t>ref</t>
        </is>
      </c>
      <c r="O1020" t="n">
        <v>-70</v>
      </c>
      <c r="P1020" t="n">
        <v>0.0759</v>
      </c>
      <c r="Q1020" t="n">
        <v>-85</v>
      </c>
      <c r="R1020" t="n">
        <v>0.3184</v>
      </c>
      <c r="S1020">
        <f>IMAGE("https://mitra.stanford.edu/kundaje/oak/projects/neuro-variants/variant_position/credible/roussos_2024/variant_figures/roussos_2024.adolescence.Astrocyte/rs4885824_count_position.png",4,220,900)</f>
        <v/>
      </c>
      <c r="T1020">
        <f>IMAGE("https://mitra.stanford.edu/kundaje/oak/projects/neuro-variants/variant_position/credible/roussos_2024/variant_figures/roussos_2024.adolescence.Astrocyte/rs4885824_profile_position.png",4,220,900)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-0.1031744669999999</v>
      </c>
      <c r="G1021" t="n">
        <v>0.08586894200316619</v>
      </c>
      <c r="H1021" t="n">
        <v>0.0137784158017327</v>
      </c>
      <c r="I1021" t="n">
        <v>0.4065459718663192</v>
      </c>
      <c r="J1021" t="n">
        <v>0.0367719490846511</v>
      </c>
      <c r="K1021" t="n">
        <v>0.4927190988576489</v>
      </c>
      <c r="L1021" t="b">
        <v>0</v>
      </c>
      <c r="M1021" t="b">
        <v>0</v>
      </c>
      <c r="N1021" t="inlineStr">
        <is>
          <t>ref</t>
        </is>
      </c>
      <c r="O1021" t="n">
        <v>55</v>
      </c>
      <c r="P1021" t="n">
        <v>0.01425</v>
      </c>
      <c r="Q1021" t="n">
        <v>35</v>
      </c>
      <c r="R1021" t="n">
        <v>0.1748</v>
      </c>
      <c r="S1021">
        <f>IMAGE("https://mitra.stanford.edu/kundaje/oak/projects/neuro-variants/variant_position/credible/roussos_2024/variant_figures/roussos_2024.adolescence.Astrocyte/rs3124395_count_position.png",4,220,900)</f>
        <v/>
      </c>
      <c r="T1021">
        <f>IMAGE("https://mitra.stanford.edu/kundaje/oak/projects/neuro-variants/variant_position/credible/roussos_2024/variant_figures/roussos_2024.adolescence.Astrocyte/rs3124395_profile_position.png",4,220,900)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0.01315209584</v>
      </c>
      <c r="G1022" t="n">
        <v>0.6746411221131546</v>
      </c>
      <c r="H1022" t="n">
        <v>0.0314414909484566</v>
      </c>
      <c r="I1022" t="n">
        <v>0.026017721333671</v>
      </c>
      <c r="J1022" t="n">
        <v>0.001561433700264</v>
      </c>
      <c r="K1022" t="n">
        <v>0.8413090036470131</v>
      </c>
      <c r="L1022" t="b">
        <v>0</v>
      </c>
      <c r="M1022" t="b">
        <v>0</v>
      </c>
      <c r="N1022" t="inlineStr">
        <is>
          <t>alt</t>
        </is>
      </c>
      <c r="O1022" t="n">
        <v>75</v>
      </c>
      <c r="P1022" t="n">
        <v>0.003853</v>
      </c>
      <c r="Q1022" t="n">
        <v>-90</v>
      </c>
      <c r="R1022" t="n">
        <v>0.0897</v>
      </c>
      <c r="S1022">
        <f>IMAGE("https://mitra.stanford.edu/kundaje/oak/projects/neuro-variants/variant_position/credible/roussos_2024/variant_figures/roussos_2024.adolescence.Astrocyte/rs3105072_count_position.png",4,220,900)</f>
        <v/>
      </c>
      <c r="T1022">
        <f>IMAGE("https://mitra.stanford.edu/kundaje/oak/projects/neuro-variants/variant_position/credible/roussos_2024/variant_figures/roussos_2024.adolescence.Astrocyte/rs3105072_profile_position.png",4,220,900)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-0.0059766538999999</v>
      </c>
      <c r="G1023" t="n">
        <v>0.7324792743866647</v>
      </c>
      <c r="H1023" t="n">
        <v>0.0271126495692639</v>
      </c>
      <c r="I1023" t="n">
        <v>0.0466321833078351</v>
      </c>
      <c r="J1023" t="n">
        <v>0.0006238317063762</v>
      </c>
      <c r="K1023" t="n">
        <v>0.9002100533041016</v>
      </c>
      <c r="L1023" t="b">
        <v>0</v>
      </c>
      <c r="M1023" t="b">
        <v>0</v>
      </c>
      <c r="N1023" t="inlineStr">
        <is>
          <t>ref</t>
        </is>
      </c>
      <c r="O1023" t="n">
        <v>100</v>
      </c>
      <c r="P1023" t="n">
        <v>0.00685</v>
      </c>
      <c r="Q1023" t="n">
        <v>10</v>
      </c>
      <c r="R1023" t="n">
        <v>0.03955</v>
      </c>
      <c r="S1023">
        <f>IMAGE("https://mitra.stanford.edu/kundaje/oak/projects/neuro-variants/variant_position/credible/roussos_2024/variant_figures/roussos_2024.adolescence.Astrocyte/rs4242982_count_position.png",4,220,900)</f>
        <v/>
      </c>
      <c r="T1023">
        <f>IMAGE("https://mitra.stanford.edu/kundaje/oak/projects/neuro-variants/variant_position/credible/roussos_2024/variant_figures/roussos_2024.adolescence.Astrocyte/rs4242982_profile_position.png",4,220,900)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-0.00645858567</v>
      </c>
      <c r="G1024" t="n">
        <v>0.8126722731632477</v>
      </c>
      <c r="H1024" t="n">
        <v>0.0269136456023404</v>
      </c>
      <c r="I1024" t="n">
        <v>0.0483884229952612</v>
      </c>
      <c r="J1024" t="n">
        <v>0.0001201673441533</v>
      </c>
      <c r="K1024" t="n">
        <v>0.973362343581652</v>
      </c>
      <c r="L1024" t="b">
        <v>0</v>
      </c>
      <c r="M1024" t="b">
        <v>0</v>
      </c>
      <c r="N1024" t="inlineStr">
        <is>
          <t>ref</t>
        </is>
      </c>
      <c r="O1024" t="n">
        <v>75</v>
      </c>
      <c r="P1024" t="n">
        <v>0.00251</v>
      </c>
      <c r="Q1024" t="n">
        <v>-100</v>
      </c>
      <c r="R1024" t="n">
        <v>0.01196</v>
      </c>
      <c r="S1024">
        <f>IMAGE("https://mitra.stanford.edu/kundaje/oak/projects/neuro-variants/variant_position/credible/roussos_2024/variant_figures/roussos_2024.adolescence.Astrocyte/rs3105090_count_position.png",4,220,900)</f>
        <v/>
      </c>
      <c r="T1024">
        <f>IMAGE("https://mitra.stanford.edu/kundaje/oak/projects/neuro-variants/variant_position/credible/roussos_2024/variant_figures/roussos_2024.adolescence.Astrocyte/rs3105090_profile_position.png",4,220,900)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0.0121120294099999</v>
      </c>
      <c r="G1025" t="n">
        <v>0.7267638491706071</v>
      </c>
      <c r="H1025" t="n">
        <v>0.009115693663407301</v>
      </c>
      <c r="I1025" t="n">
        <v>0.8278187338189964</v>
      </c>
      <c r="J1025" t="n">
        <v>8.678752633293845e-05</v>
      </c>
      <c r="K1025" t="n">
        <v>0.9824869673171208</v>
      </c>
      <c r="L1025" t="b">
        <v>0</v>
      </c>
      <c r="M1025" t="b">
        <v>0</v>
      </c>
      <c r="N1025" t="inlineStr">
        <is>
          <t>alt</t>
        </is>
      </c>
      <c r="O1025" t="n">
        <v>-80</v>
      </c>
      <c r="P1025" t="n">
        <v>0.00319</v>
      </c>
      <c r="Q1025" t="n">
        <v>-5</v>
      </c>
      <c r="R1025" t="n">
        <v>0.005676</v>
      </c>
      <c r="S1025">
        <f>IMAGE("https://mitra.stanford.edu/kundaje/oak/projects/neuro-variants/variant_position/credible/roussos_2024/variant_figures/roussos_2024.adolescence.Astrocyte/rs73191591_count_position.png",4,220,900)</f>
        <v/>
      </c>
      <c r="T1025">
        <f>IMAGE("https://mitra.stanford.edu/kundaje/oak/projects/neuro-variants/variant_position/credible/roussos_2024/variant_figures/roussos_2024.adolescence.Astrocyte/rs73191591_profile_position.png",4,220,900)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0.1031801451999999</v>
      </c>
      <c r="G1026" t="n">
        <v>0.0830990579341527</v>
      </c>
      <c r="H1026" t="n">
        <v>0.0143683638808954</v>
      </c>
      <c r="I1026" t="n">
        <v>0.3613273396851806</v>
      </c>
      <c r="J1026" t="n">
        <v>0.0012810432305728</v>
      </c>
      <c r="K1026" t="n">
        <v>0.8563489387099371</v>
      </c>
      <c r="L1026" t="b">
        <v>0</v>
      </c>
      <c r="M1026" t="b">
        <v>0</v>
      </c>
      <c r="N1026" t="inlineStr">
        <is>
          <t>alt</t>
        </is>
      </c>
      <c r="O1026" t="n">
        <v>-75</v>
      </c>
      <c r="P1026" t="n">
        <v>0.003372</v>
      </c>
      <c r="Q1026" t="n">
        <v>80</v>
      </c>
      <c r="R1026" t="n">
        <v>0.118</v>
      </c>
      <c r="S1026">
        <f>IMAGE("https://mitra.stanford.edu/kundaje/oak/projects/neuro-variants/variant_position/credible/roussos_2024/variant_figures/roussos_2024.adolescence.Astrocyte/rs73193533_count_position.png",4,220,900)</f>
        <v/>
      </c>
      <c r="T1026">
        <f>IMAGE("https://mitra.stanford.edu/kundaje/oak/projects/neuro-variants/variant_position/credible/roussos_2024/variant_figures/roussos_2024.adolescence.Astrocyte/rs73193533_profile_position.png",4,220,900)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0.145563956</v>
      </c>
      <c r="G1027" t="n">
        <v>0.0373372764830436</v>
      </c>
      <c r="H1027" t="n">
        <v>0.0605598251798357</v>
      </c>
      <c r="I1027" t="n">
        <v>0.0022537790165449</v>
      </c>
      <c r="J1027" t="n">
        <v>0.0072931193068865</v>
      </c>
      <c r="K1027" t="n">
        <v>0.7036139282154632</v>
      </c>
      <c r="L1027" t="b">
        <v>0</v>
      </c>
      <c r="M1027" t="b">
        <v>0</v>
      </c>
      <c r="N1027" t="inlineStr">
        <is>
          <t>alt</t>
        </is>
      </c>
      <c r="O1027" t="n">
        <v>-60</v>
      </c>
      <c r="P1027" t="n">
        <v>0.001015</v>
      </c>
      <c r="Q1027" t="n">
        <v>100</v>
      </c>
      <c r="R1027" t="n">
        <v>0.0935</v>
      </c>
      <c r="S1027">
        <f>IMAGE("https://mitra.stanford.edu/kundaje/oak/projects/neuro-variants/variant_position/credible/roussos_2024/variant_figures/roussos_2024.adolescence.Astrocyte/rs112311254_count_position.png",4,220,900)</f>
        <v/>
      </c>
      <c r="T1027">
        <f>IMAGE("https://mitra.stanford.edu/kundaje/oak/projects/neuro-variants/variant_position/credible/roussos_2024/variant_figures/roussos_2024.adolescence.Astrocyte/rs112311254_profile_position.png",4,220,900)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0.0459618386</v>
      </c>
      <c r="G1028" t="n">
        <v>0.1066842038004239</v>
      </c>
      <c r="H1028" t="n">
        <v>0.0158865996671486</v>
      </c>
      <c r="I1028" t="n">
        <v>0.2796747485470063</v>
      </c>
      <c r="J1028" t="n">
        <v>0.0018358899801203</v>
      </c>
      <c r="K1028" t="n">
        <v>0.829117630562582</v>
      </c>
      <c r="L1028" t="b">
        <v>0</v>
      </c>
      <c r="M1028" t="b">
        <v>0</v>
      </c>
      <c r="N1028" t="inlineStr">
        <is>
          <t>alt</t>
        </is>
      </c>
      <c r="O1028" t="n">
        <v>-95</v>
      </c>
      <c r="P1028" t="n">
        <v>0.004272</v>
      </c>
      <c r="Q1028" t="n">
        <v>-50</v>
      </c>
      <c r="R1028" t="n">
        <v>0.11554</v>
      </c>
      <c r="S1028">
        <f>IMAGE("https://mitra.stanford.edu/kundaje/oak/projects/neuro-variants/variant_position/credible/roussos_2024/variant_figures/roussos_2024.adolescence.Astrocyte/rs611686_count_position.png",4,220,900)</f>
        <v/>
      </c>
      <c r="T1028">
        <f>IMAGE("https://mitra.stanford.edu/kundaje/oak/projects/neuro-variants/variant_position/credible/roussos_2024/variant_figures/roussos_2024.adolescence.Astrocyte/rs611686_profile_position.png",4,220,900)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0.015635929</v>
      </c>
      <c r="G1029" t="n">
        <v>0.6153486862104859</v>
      </c>
      <c r="H1029" t="n">
        <v>0.0274867575308951</v>
      </c>
      <c r="I1029" t="n">
        <v>0.043871328848814</v>
      </c>
      <c r="J1029" t="n">
        <v>0.0007076521377918</v>
      </c>
      <c r="K1029" t="n">
        <v>0.911471656209266</v>
      </c>
      <c r="L1029" t="b">
        <v>0</v>
      </c>
      <c r="M1029" t="b">
        <v>0</v>
      </c>
      <c r="N1029" t="inlineStr">
        <is>
          <t>alt</t>
        </is>
      </c>
      <c r="O1029" t="n">
        <v>-65</v>
      </c>
      <c r="P1029" t="n">
        <v>0.0103</v>
      </c>
      <c r="Q1029" t="n">
        <v>70</v>
      </c>
      <c r="R1029" t="n">
        <v>0.0429</v>
      </c>
      <c r="S1029">
        <f>IMAGE("https://mitra.stanford.edu/kundaje/oak/projects/neuro-variants/variant_position/credible/roussos_2024/variant_figures/roussos_2024.adolescence.Astrocyte/rs73193578_count_position.png",4,220,900)</f>
        <v/>
      </c>
      <c r="T1029">
        <f>IMAGE("https://mitra.stanford.edu/kundaje/oak/projects/neuro-variants/variant_position/credible/roussos_2024/variant_figures/roussos_2024.adolescence.Astrocyte/rs73193578_profile_position.png",4,220,900)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0.492205686</v>
      </c>
      <c r="G1030" t="n">
        <v>0.0012835295405608</v>
      </c>
      <c r="H1030" t="n">
        <v>0.0695108296484688</v>
      </c>
      <c r="I1030" t="n">
        <v>0.0011669212824923</v>
      </c>
      <c r="J1030" t="n">
        <v>0.1111866896122006</v>
      </c>
      <c r="K1030" t="n">
        <v>0.3143271768558658</v>
      </c>
      <c r="L1030" t="b">
        <v>1</v>
      </c>
      <c r="M1030" t="b">
        <v>1</v>
      </c>
      <c r="N1030" t="inlineStr">
        <is>
          <t>alt</t>
        </is>
      </c>
      <c r="O1030" t="n">
        <v>35</v>
      </c>
      <c r="P1030" t="n">
        <v>0.01303</v>
      </c>
      <c r="Q1030" t="n">
        <v>35</v>
      </c>
      <c r="R1030" t="n">
        <v>0.074</v>
      </c>
      <c r="S1030">
        <f>IMAGE("https://mitra.stanford.edu/kundaje/oak/projects/neuro-variants/variant_position/credible/roussos_2024/variant_figures/roussos_2024.adolescence.Astrocyte/rs517462_count_position.png",4,220,900)</f>
        <v/>
      </c>
      <c r="T1030">
        <f>IMAGE("https://mitra.stanford.edu/kundaje/oak/projects/neuro-variants/variant_position/credible/roussos_2024/variant_figures/roussos_2024.adolescence.Astrocyte/rs517462_profile_position.png",4,220,900)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-0.009878691559999901</v>
      </c>
      <c r="G1031" t="n">
        <v>0.7564568610636598</v>
      </c>
      <c r="H1031" t="n">
        <v>0.0287890750372397</v>
      </c>
      <c r="I1031" t="n">
        <v>0.0368247081908965</v>
      </c>
      <c r="J1031" t="n">
        <v>3.263804409103047e-05</v>
      </c>
      <c r="K1031" t="n">
        <v>0.9982173323577984</v>
      </c>
      <c r="L1031" t="b">
        <v>0</v>
      </c>
      <c r="M1031" t="b">
        <v>0</v>
      </c>
      <c r="N1031" t="inlineStr">
        <is>
          <t>ref</t>
        </is>
      </c>
      <c r="O1031" t="n">
        <v>-75</v>
      </c>
      <c r="P1031" t="n">
        <v>0.03195</v>
      </c>
      <c r="Q1031" t="n">
        <v>85</v>
      </c>
      <c r="R1031" t="n">
        <v>0.1337</v>
      </c>
      <c r="S1031">
        <f>IMAGE("https://mitra.stanford.edu/kundaje/oak/projects/neuro-variants/variant_position/credible/roussos_2024/variant_figures/roussos_2024.adolescence.Astrocyte/rs3121501_count_position.png",4,220,900)</f>
        <v/>
      </c>
      <c r="T1031">
        <f>IMAGE("https://mitra.stanford.edu/kundaje/oak/projects/neuro-variants/variant_position/credible/roussos_2024/variant_figures/roussos_2024.adolescence.Astrocyte/rs3121501_profile_position.png",4,220,900)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0.00249662168</v>
      </c>
      <c r="G1032" t="n">
        <v>0.865132740629755</v>
      </c>
      <c r="H1032" t="n">
        <v>0.0271723623672635</v>
      </c>
      <c r="I1032" t="n">
        <v>0.0470512476304946</v>
      </c>
      <c r="J1032" t="n">
        <v>0.0004420971426875</v>
      </c>
      <c r="K1032" t="n">
        <v>0.9304227461904596</v>
      </c>
      <c r="L1032" t="b">
        <v>0</v>
      </c>
      <c r="M1032" t="b">
        <v>0</v>
      </c>
      <c r="N1032" t="inlineStr">
        <is>
          <t>alt</t>
        </is>
      </c>
      <c r="O1032" t="n">
        <v>-90</v>
      </c>
      <c r="P1032" t="n">
        <v>0.01013</v>
      </c>
      <c r="Q1032" t="n">
        <v>-75</v>
      </c>
      <c r="R1032" t="n">
        <v>0.09344</v>
      </c>
      <c r="S1032">
        <f>IMAGE("https://mitra.stanford.edu/kundaje/oak/projects/neuro-variants/variant_position/credible/roussos_2024/variant_figures/roussos_2024.adolescence.Astrocyte/rs2137410_count_position.png",4,220,900)</f>
        <v/>
      </c>
      <c r="T1032">
        <f>IMAGE("https://mitra.stanford.edu/kundaje/oak/projects/neuro-variants/variant_position/credible/roussos_2024/variant_figures/roussos_2024.adolescence.Astrocyte/rs2137410_profile_position.png",4,220,900)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0.0184701902</v>
      </c>
      <c r="G1033" t="n">
        <v>0.565535673465829</v>
      </c>
      <c r="H1033" t="n">
        <v>0.0358914640420412</v>
      </c>
      <c r="I1033" t="n">
        <v>0.0151139055070793</v>
      </c>
      <c r="J1033" t="n">
        <v>0.0359775094205263</v>
      </c>
      <c r="K1033" t="n">
        <v>0.4932203986520529</v>
      </c>
      <c r="L1033" t="b">
        <v>1</v>
      </c>
      <c r="M1033" t="b">
        <v>0</v>
      </c>
      <c r="N1033" t="inlineStr">
        <is>
          <t>alt</t>
        </is>
      </c>
      <c r="O1033" t="n">
        <v>100</v>
      </c>
      <c r="P1033" t="n">
        <v>0.01024</v>
      </c>
      <c r="Q1033" t="n">
        <v>100</v>
      </c>
      <c r="R1033" t="n">
        <v>0.2097</v>
      </c>
      <c r="S1033">
        <f>IMAGE("https://mitra.stanford.edu/kundaje/oak/projects/neuro-variants/variant_position/credible/roussos_2024/variant_figures/roussos_2024.adolescence.Astrocyte/rs9569448_count_position.png",4,220,900)</f>
        <v/>
      </c>
      <c r="T1033">
        <f>IMAGE("https://mitra.stanford.edu/kundaje/oak/projects/neuro-variants/variant_position/credible/roussos_2024/variant_figures/roussos_2024.adolescence.Astrocyte/rs9569448_profile_position.png",4,220,900)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-0.06673899799999999</v>
      </c>
      <c r="G1034" t="n">
        <v>0.1582937455788215</v>
      </c>
      <c r="H1034" t="n">
        <v>0.0163065823160169</v>
      </c>
      <c r="I1034" t="n">
        <v>0.2596291043708447</v>
      </c>
      <c r="J1034" t="n">
        <v>0.0131798356229415</v>
      </c>
      <c r="K1034" t="n">
        <v>0.639218825499278</v>
      </c>
      <c r="L1034" t="b">
        <v>0</v>
      </c>
      <c r="M1034" t="b">
        <v>0</v>
      </c>
      <c r="N1034" t="inlineStr">
        <is>
          <t>ref</t>
        </is>
      </c>
      <c r="O1034" t="n">
        <v>20</v>
      </c>
      <c r="P1034" t="n">
        <v>0.006325</v>
      </c>
      <c r="Q1034" t="n">
        <v>100</v>
      </c>
      <c r="R1034" t="n">
        <v>0.01068</v>
      </c>
      <c r="S1034">
        <f>IMAGE("https://mitra.stanford.edu/kundaje/oak/projects/neuro-variants/variant_position/credible/roussos_2024/variant_figures/roussos_2024.adolescence.Astrocyte/rs9597389_count_position.png",4,220,900)</f>
        <v/>
      </c>
      <c r="T1034">
        <f>IMAGE("https://mitra.stanford.edu/kundaje/oak/projects/neuro-variants/variant_position/credible/roussos_2024/variant_figures/roussos_2024.adolescence.Astrocyte/rs9597389_profile_position.png",4,220,900)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0.136371124</v>
      </c>
      <c r="G1035" t="n">
        <v>0.04520209332706</v>
      </c>
      <c r="H1035" t="n">
        <v>0.0189059742951878</v>
      </c>
      <c r="I1035" t="n">
        <v>0.1628329204117974</v>
      </c>
      <c r="J1035" t="n">
        <v>0.0111777883274485</v>
      </c>
      <c r="K1035" t="n">
        <v>0.6925339939121045</v>
      </c>
      <c r="L1035" t="b">
        <v>0</v>
      </c>
      <c r="M1035" t="b">
        <v>0</v>
      </c>
      <c r="N1035" t="inlineStr">
        <is>
          <t>alt</t>
        </is>
      </c>
      <c r="O1035" t="n">
        <v>35</v>
      </c>
      <c r="P1035" t="n">
        <v>0.008330000000000001</v>
      </c>
      <c r="Q1035" t="n">
        <v>80</v>
      </c>
      <c r="R1035" t="n">
        <v>0.1646</v>
      </c>
      <c r="S1035">
        <f>IMAGE("https://mitra.stanford.edu/kundaje/oak/projects/neuro-variants/variant_position/credible/roussos_2024/variant_figures/roussos_2024.adolescence.Astrocyte/rs2784002_count_position.png",4,220,900)</f>
        <v/>
      </c>
      <c r="T1035">
        <f>IMAGE("https://mitra.stanford.edu/kundaje/oak/projects/neuro-variants/variant_position/credible/roussos_2024/variant_figures/roussos_2024.adolescence.Astrocyte/rs2784002_profile_position.png",4,220,900)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0.0035658794799999</v>
      </c>
      <c r="G1036" t="n">
        <v>0.1897359273058362</v>
      </c>
      <c r="H1036" t="n">
        <v>0.0140648085389202</v>
      </c>
      <c r="I1036" t="n">
        <v>0.3869978234770277</v>
      </c>
      <c r="J1036" t="n">
        <v>0.0753041272290299</v>
      </c>
      <c r="K1036" t="n">
        <v>0.3974842210645633</v>
      </c>
      <c r="L1036" t="b">
        <v>0</v>
      </c>
      <c r="M1036" t="b">
        <v>0</v>
      </c>
      <c r="N1036" t="inlineStr">
        <is>
          <t>alt</t>
        </is>
      </c>
      <c r="O1036" t="n">
        <v>45</v>
      </c>
      <c r="P1036" t="n">
        <v>0.02238</v>
      </c>
      <c r="Q1036" t="n">
        <v>40</v>
      </c>
      <c r="R1036" t="n">
        <v>0.1909</v>
      </c>
      <c r="S1036">
        <f>IMAGE("https://mitra.stanford.edu/kundaje/oak/projects/neuro-variants/variant_position/credible/roussos_2024/variant_figures/roussos_2024.adolescence.Astrocyte/rs9591754_count_position.png",4,220,900)</f>
        <v/>
      </c>
      <c r="T1036">
        <f>IMAGE("https://mitra.stanford.edu/kundaje/oak/projects/neuro-variants/variant_position/credible/roussos_2024/variant_figures/roussos_2024.adolescence.Astrocyte/rs9591754_profile_position.png",4,220,900)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-0.020050206</v>
      </c>
      <c r="G1037" t="n">
        <v>0.4982942513503507</v>
      </c>
      <c r="H1037" t="n">
        <v>0.0120731564724714</v>
      </c>
      <c r="I1037" t="n">
        <v>0.5472033480821251</v>
      </c>
      <c r="J1037" t="n">
        <v>0.06621220662849001</v>
      </c>
      <c r="K1037" t="n">
        <v>0.3957469958717859</v>
      </c>
      <c r="L1037" t="b">
        <v>0</v>
      </c>
      <c r="M1037" t="b">
        <v>0</v>
      </c>
      <c r="N1037" t="inlineStr">
        <is>
          <t>ref</t>
        </is>
      </c>
      <c r="O1037" t="n">
        <v>-85</v>
      </c>
      <c r="P1037" t="n">
        <v>0.00801</v>
      </c>
      <c r="Q1037" t="n">
        <v>-15</v>
      </c>
      <c r="R1037" t="n">
        <v>0.004272</v>
      </c>
      <c r="S1037">
        <f>IMAGE("https://mitra.stanford.edu/kundaje/oak/projects/neuro-variants/variant_position/credible/roussos_2024/variant_figures/roussos_2024.adolescence.Astrocyte/rs9316851_count_position.png",4,220,900)</f>
        <v/>
      </c>
      <c r="T1037">
        <f>IMAGE("https://mitra.stanford.edu/kundaje/oak/projects/neuro-variants/variant_position/credible/roussos_2024/variant_figures/roussos_2024.adolescence.Astrocyte/rs9316851_profile_position.png",4,220,900)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0.232370242</v>
      </c>
      <c r="G1038" t="n">
        <v>0.0140219722488172</v>
      </c>
      <c r="H1038" t="n">
        <v>0.0290633905364896</v>
      </c>
      <c r="I1038" t="n">
        <v>0.0386788404416851</v>
      </c>
      <c r="J1038" t="n">
        <v>0.0028380262884609</v>
      </c>
      <c r="K1038" t="n">
        <v>0.8209981709583949</v>
      </c>
      <c r="L1038" t="b">
        <v>1</v>
      </c>
      <c r="M1038" t="b">
        <v>0</v>
      </c>
      <c r="N1038" t="inlineStr">
        <is>
          <t>alt</t>
        </is>
      </c>
      <c r="O1038" t="n">
        <v>75</v>
      </c>
      <c r="P1038" t="n">
        <v>0.003609</v>
      </c>
      <c r="Q1038" t="n">
        <v>-15</v>
      </c>
      <c r="R1038" t="n">
        <v>0.06274</v>
      </c>
      <c r="S1038">
        <f>IMAGE("https://mitra.stanford.edu/kundaje/oak/projects/neuro-variants/variant_position/credible/roussos_2024/variant_figures/roussos_2024.adolescence.Astrocyte/rs59918226_count_position.png",4,220,900)</f>
        <v/>
      </c>
      <c r="T1038">
        <f>IMAGE("https://mitra.stanford.edu/kundaje/oak/projects/neuro-variants/variant_position/credible/roussos_2024/variant_figures/roussos_2024.adolescence.Astrocyte/rs59918226_profile_position.png",4,220,900)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-0.0248906827999999</v>
      </c>
      <c r="G1039" t="n">
        <v>0.4782680192455523</v>
      </c>
      <c r="H1039" t="n">
        <v>0.0101752181616071</v>
      </c>
      <c r="I1039" t="n">
        <v>0.728036626222056</v>
      </c>
      <c r="J1039" t="n">
        <v>0.0011430733169153</v>
      </c>
      <c r="K1039" t="n">
        <v>0.8642219415749185</v>
      </c>
      <c r="L1039" t="b">
        <v>0</v>
      </c>
      <c r="M1039" t="b">
        <v>0</v>
      </c>
      <c r="N1039" t="inlineStr">
        <is>
          <t>ref</t>
        </is>
      </c>
      <c r="O1039" t="n">
        <v>-15</v>
      </c>
      <c r="P1039" t="n">
        <v>0.002224</v>
      </c>
      <c r="Q1039" t="n">
        <v>-85</v>
      </c>
      <c r="R1039" t="n">
        <v>0.0335</v>
      </c>
      <c r="S1039">
        <f>IMAGE("https://mitra.stanford.edu/kundaje/oak/projects/neuro-variants/variant_position/credible/roussos_2024/variant_figures/roussos_2024.adolescence.Astrocyte/rs9316853_count_position.png",4,220,900)</f>
        <v/>
      </c>
      <c r="T1039">
        <f>IMAGE("https://mitra.stanford.edu/kundaje/oak/projects/neuro-variants/variant_position/credible/roussos_2024/variant_figures/roussos_2024.adolescence.Astrocyte/rs9316853_profile_position.png",4,220,900)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-0.075784053</v>
      </c>
      <c r="G1040" t="n">
        <v>0.1299174564123996</v>
      </c>
      <c r="H1040" t="n">
        <v>0.0200252997426506</v>
      </c>
      <c r="I1040" t="n">
        <v>0.1444293577459725</v>
      </c>
      <c r="J1040" t="n">
        <v>0.0060988636026465</v>
      </c>
      <c r="K1040" t="n">
        <v>0.7215090761314465</v>
      </c>
      <c r="L1040" t="b">
        <v>0</v>
      </c>
      <c r="M1040" t="b">
        <v>0</v>
      </c>
      <c r="N1040" t="inlineStr">
        <is>
          <t>ref</t>
        </is>
      </c>
      <c r="O1040" t="n">
        <v>-100</v>
      </c>
      <c r="P1040" t="n">
        <v>0.006752</v>
      </c>
      <c r="Q1040" t="n">
        <v>30</v>
      </c>
      <c r="R1040" t="n">
        <v>0.04126</v>
      </c>
      <c r="S1040">
        <f>IMAGE("https://mitra.stanford.edu/kundaje/oak/projects/neuro-variants/variant_position/credible/roussos_2024/variant_figures/roussos_2024.adolescence.Astrocyte/rs12872193_count_position.png",4,220,900)</f>
        <v/>
      </c>
      <c r="T1040">
        <f>IMAGE("https://mitra.stanford.edu/kundaje/oak/projects/neuro-variants/variant_position/credible/roussos_2024/variant_figures/roussos_2024.adolescence.Astrocyte/rs12872193_profile_position.png",4,220,900)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-0.0574752994</v>
      </c>
      <c r="G1041" t="n">
        <v>0.2124033777118027</v>
      </c>
      <c r="H1041" t="n">
        <v>0.0164483278502722</v>
      </c>
      <c r="I1041" t="n">
        <v>0.249763869555374</v>
      </c>
      <c r="J1041" t="n">
        <v>0.0331001691244102</v>
      </c>
      <c r="K1041" t="n">
        <v>0.4999708590259684</v>
      </c>
      <c r="L1041" t="b">
        <v>0</v>
      </c>
      <c r="M1041" t="b">
        <v>0</v>
      </c>
      <c r="N1041" t="inlineStr">
        <is>
          <t>ref</t>
        </is>
      </c>
      <c r="O1041" t="n">
        <v>-100</v>
      </c>
      <c r="P1041" t="n">
        <v>0.01546</v>
      </c>
      <c r="Q1041" t="n">
        <v>-95</v>
      </c>
      <c r="R1041" t="n">
        <v>0.2166</v>
      </c>
      <c r="S1041">
        <f>IMAGE("https://mitra.stanford.edu/kundaje/oak/projects/neuro-variants/variant_position/credible/roussos_2024/variant_figures/roussos_2024.adolescence.Astrocyte/rs9597405_count_position.png",4,220,900)</f>
        <v/>
      </c>
      <c r="T1041">
        <f>IMAGE("https://mitra.stanford.edu/kundaje/oak/projects/neuro-variants/variant_position/credible/roussos_2024/variant_figures/roussos_2024.adolescence.Astrocyte/rs9597405_profile_position.png",4,220,900)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-0.0438059664</v>
      </c>
      <c r="G1042" t="n">
        <v>0.3027636128041754</v>
      </c>
      <c r="H1042" t="n">
        <v>0.0124800456366399</v>
      </c>
      <c r="I1042" t="n">
        <v>0.512622589870966</v>
      </c>
      <c r="J1042" t="n">
        <v>0.0153947719787555</v>
      </c>
      <c r="K1042" t="n">
        <v>0.6079511456658726</v>
      </c>
      <c r="L1042" t="b">
        <v>0</v>
      </c>
      <c r="M1042" t="b">
        <v>0</v>
      </c>
      <c r="N1042" t="inlineStr">
        <is>
          <t>ref</t>
        </is>
      </c>
      <c r="O1042" t="n">
        <v>-95</v>
      </c>
      <c r="P1042" t="n">
        <v>0.00776</v>
      </c>
      <c r="Q1042" t="n">
        <v>-85</v>
      </c>
      <c r="R1042" t="n">
        <v>0.01019</v>
      </c>
      <c r="S1042">
        <f>IMAGE("https://mitra.stanford.edu/kundaje/oak/projects/neuro-variants/variant_position/credible/roussos_2024/variant_figures/roussos_2024.adolescence.Astrocyte/rs4885970_count_position.png",4,220,900)</f>
        <v/>
      </c>
      <c r="T1042">
        <f>IMAGE("https://mitra.stanford.edu/kundaje/oak/projects/neuro-variants/variant_position/credible/roussos_2024/variant_figures/roussos_2024.adolescence.Astrocyte/rs4885970_profile_position.png",4,220,900)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-0.00621189408</v>
      </c>
      <c r="G1043" t="n">
        <v>0.7922664723266194</v>
      </c>
      <c r="H1043" t="n">
        <v>0.0382126708217746</v>
      </c>
      <c r="I1043" t="n">
        <v>0.0115815146281365</v>
      </c>
      <c r="J1043" t="n">
        <v>9.27217161676745e-05</v>
      </c>
      <c r="K1043" t="n">
        <v>0.9818943081192568</v>
      </c>
      <c r="L1043" t="b">
        <v>0</v>
      </c>
      <c r="M1043" t="b">
        <v>0</v>
      </c>
      <c r="N1043" t="inlineStr">
        <is>
          <t>ref</t>
        </is>
      </c>
      <c r="O1043" t="n">
        <v>90</v>
      </c>
      <c r="P1043" t="n">
        <v>0.01404</v>
      </c>
      <c r="Q1043" t="n">
        <v>-70</v>
      </c>
      <c r="R1043" t="n">
        <v>0.05026</v>
      </c>
      <c r="S1043">
        <f>IMAGE("https://mitra.stanford.edu/kundaje/oak/projects/neuro-variants/variant_position/credible/roussos_2024/variant_figures/roussos_2024.adolescence.Astrocyte/rs71428219_count_position.png",4,220,900)</f>
        <v/>
      </c>
      <c r="T1043">
        <f>IMAGE("https://mitra.stanford.edu/kundaje/oak/projects/neuro-variants/variant_position/credible/roussos_2024/variant_figures/roussos_2024.adolescence.Astrocyte/rs71428219_profile_position.png",4,220,900)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-0.0048916288459999</v>
      </c>
      <c r="G1044" t="n">
        <v>0.8102962917779232</v>
      </c>
      <c r="H1044" t="n">
        <v>0.033346249256649</v>
      </c>
      <c r="I1044" t="n">
        <v>0.0202015268927725</v>
      </c>
      <c r="J1044" t="n">
        <v>0.0002930006230898</v>
      </c>
      <c r="K1044" t="n">
        <v>0.9502830601777368</v>
      </c>
      <c r="L1044" t="b">
        <v>0</v>
      </c>
      <c r="M1044" t="b">
        <v>0</v>
      </c>
      <c r="N1044" t="inlineStr">
        <is>
          <t>ref</t>
        </is>
      </c>
      <c r="O1044" t="n">
        <v>60</v>
      </c>
      <c r="P1044" t="n">
        <v>0.001114</v>
      </c>
      <c r="Q1044" t="n">
        <v>-15</v>
      </c>
      <c r="R1044" t="n">
        <v>0.02385</v>
      </c>
      <c r="S1044">
        <f>IMAGE("https://mitra.stanford.edu/kundaje/oak/projects/neuro-variants/variant_position/credible/roussos_2024/variant_figures/roussos_2024.adolescence.Astrocyte/rs9597412_count_position.png",4,220,900)</f>
        <v/>
      </c>
      <c r="T1044">
        <f>IMAGE("https://mitra.stanford.edu/kundaje/oak/projects/neuro-variants/variant_position/credible/roussos_2024/variant_figures/roussos_2024.adolescence.Astrocyte/rs9597412_profile_position.png",4,220,900)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-0.0156710734</v>
      </c>
      <c r="G1045" t="n">
        <v>0.606316102291011</v>
      </c>
      <c r="H1045" t="n">
        <v>0.0297829221402757</v>
      </c>
      <c r="I1045" t="n">
        <v>0.0320362358700738</v>
      </c>
      <c r="J1045" t="n">
        <v>0.011849835326232</v>
      </c>
      <c r="K1045" t="n">
        <v>0.6643284402378522</v>
      </c>
      <c r="L1045" t="b">
        <v>0</v>
      </c>
      <c r="M1045" t="b">
        <v>0</v>
      </c>
      <c r="N1045" t="inlineStr">
        <is>
          <t>ref</t>
        </is>
      </c>
      <c r="O1045" t="n">
        <v>-100</v>
      </c>
      <c r="P1045" t="n">
        <v>0.02074</v>
      </c>
      <c r="Q1045" t="n">
        <v>10</v>
      </c>
      <c r="R1045" t="n">
        <v>0.03503</v>
      </c>
      <c r="S1045">
        <f>IMAGE("https://mitra.stanford.edu/kundaje/oak/projects/neuro-variants/variant_position/credible/roussos_2024/variant_figures/roussos_2024.adolescence.Astrocyte/rs12853934_count_position.png",4,220,900)</f>
        <v/>
      </c>
      <c r="T1045">
        <f>IMAGE("https://mitra.stanford.edu/kundaje/oak/projects/neuro-variants/variant_position/credible/roussos_2024/variant_figures/roussos_2024.adolescence.Astrocyte/rs12853934_profile_position.png",4,220,900)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-0.1227982304</v>
      </c>
      <c r="G1046" t="n">
        <v>0.06387777696477639</v>
      </c>
      <c r="H1046" t="n">
        <v>0.0218933023774575</v>
      </c>
      <c r="I1046" t="n">
        <v>0.1140751575411518</v>
      </c>
      <c r="J1046" t="n">
        <v>0.0004532237486276</v>
      </c>
      <c r="K1046" t="n">
        <v>0.9253084725852554</v>
      </c>
      <c r="L1046" t="b">
        <v>0</v>
      </c>
      <c r="M1046" t="b">
        <v>0</v>
      </c>
      <c r="N1046" t="inlineStr">
        <is>
          <t>ref</t>
        </is>
      </c>
      <c r="O1046" t="n">
        <v>-80</v>
      </c>
      <c r="P1046" t="n">
        <v>0.001175</v>
      </c>
      <c r="Q1046" t="n">
        <v>0</v>
      </c>
      <c r="R1046" t="n">
        <v>0</v>
      </c>
      <c r="S1046">
        <f>IMAGE("https://mitra.stanford.edu/kundaje/oak/projects/neuro-variants/variant_position/credible/roussos_2024/variant_figures/roussos_2024.adolescence.Astrocyte/rs13378557_count_position.png",4,220,900)</f>
        <v/>
      </c>
      <c r="T1046">
        <f>IMAGE("https://mitra.stanford.edu/kundaje/oak/projects/neuro-variants/variant_position/credible/roussos_2024/variant_figures/roussos_2024.adolescence.Astrocyte/rs13378557_profile_position.png",4,220,900)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0.0346180612</v>
      </c>
      <c r="G1047" t="n">
        <v>0.3916272662549797</v>
      </c>
      <c r="H1047" t="n">
        <v>0.0376775118819565</v>
      </c>
      <c r="I1047" t="n">
        <v>0.0127537060406624</v>
      </c>
      <c r="J1047" t="n">
        <v>0.0063903806782778</v>
      </c>
      <c r="K1047" t="n">
        <v>0.7675540434756667</v>
      </c>
      <c r="L1047" t="b">
        <v>0</v>
      </c>
      <c r="M1047" t="b">
        <v>0</v>
      </c>
      <c r="N1047" t="inlineStr">
        <is>
          <t>alt</t>
        </is>
      </c>
      <c r="O1047" t="n">
        <v>65</v>
      </c>
      <c r="P1047" t="n">
        <v>0.009795999999999999</v>
      </c>
      <c r="Q1047" t="n">
        <v>15</v>
      </c>
      <c r="R1047" t="n">
        <v>0.03986</v>
      </c>
      <c r="S1047">
        <f>IMAGE("https://mitra.stanford.edu/kundaje/oak/projects/neuro-variants/variant_position/credible/roussos_2024/variant_figures/roussos_2024.adolescence.Astrocyte/rs12874445_count_position.png",4,220,900)</f>
        <v/>
      </c>
      <c r="T1047">
        <f>IMAGE("https://mitra.stanford.edu/kundaje/oak/projects/neuro-variants/variant_position/credible/roussos_2024/variant_figures/roussos_2024.adolescence.Astrocyte/rs12874445_profile_position.png",4,220,900)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0.00700713302</v>
      </c>
      <c r="G1048" t="n">
        <v>0.8127474912427564</v>
      </c>
      <c r="H1048" t="n">
        <v>0.0281423548099111</v>
      </c>
      <c r="I1048" t="n">
        <v>0.0403208442986392</v>
      </c>
      <c r="J1048" t="n">
        <v>0.0226367088983176</v>
      </c>
      <c r="K1048" t="n">
        <v>0.5599941772356706</v>
      </c>
      <c r="L1048" t="b">
        <v>0</v>
      </c>
      <c r="M1048" t="b">
        <v>0</v>
      </c>
      <c r="N1048" t="inlineStr">
        <is>
          <t>alt</t>
        </is>
      </c>
      <c r="O1048" t="n">
        <v>-40</v>
      </c>
      <c r="P1048" t="n">
        <v>0.002975</v>
      </c>
      <c r="Q1048" t="n">
        <v>-80</v>
      </c>
      <c r="R1048" t="n">
        <v>0.06995</v>
      </c>
      <c r="S1048">
        <f>IMAGE("https://mitra.stanford.edu/kundaje/oak/projects/neuro-variants/variant_position/credible/roussos_2024/variant_figures/roussos_2024.adolescence.Astrocyte/rs1341548_count_position.png",4,220,900)</f>
        <v/>
      </c>
      <c r="T1048">
        <f>IMAGE("https://mitra.stanford.edu/kundaje/oak/projects/neuro-variants/variant_position/credible/roussos_2024/variant_figures/roussos_2024.adolescence.Astrocyte/rs1341548_profile_position.png",4,220,900)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0.001847651078</v>
      </c>
      <c r="G1049" t="n">
        <v>0.8683770703517121</v>
      </c>
      <c r="H1049" t="n">
        <v>0.0226468834131401</v>
      </c>
      <c r="I1049" t="n">
        <v>0.0896237708580825</v>
      </c>
      <c r="J1049" t="n">
        <v>0.0004005578138444</v>
      </c>
      <c r="K1049" t="n">
        <v>0.9274601442426076</v>
      </c>
      <c r="L1049" t="b">
        <v>0</v>
      </c>
      <c r="M1049" t="b">
        <v>0</v>
      </c>
      <c r="N1049" t="inlineStr">
        <is>
          <t>alt</t>
        </is>
      </c>
      <c r="O1049" t="n">
        <v>-70</v>
      </c>
      <c r="P1049" t="n">
        <v>0.09</v>
      </c>
      <c r="Q1049" t="n">
        <v>40</v>
      </c>
      <c r="R1049" t="n">
        <v>0.10583</v>
      </c>
      <c r="S1049">
        <f>IMAGE("https://mitra.stanford.edu/kundaje/oak/projects/neuro-variants/variant_position/credible/roussos_2024/variant_figures/roussos_2024.adolescence.Astrocyte/rs34927497_count_position.png",4,220,900)</f>
        <v/>
      </c>
      <c r="T1049">
        <f>IMAGE("https://mitra.stanford.edu/kundaje/oak/projects/neuro-variants/variant_position/credible/roussos_2024/variant_figures/roussos_2024.adolescence.Astrocyte/rs34927497_profile_position.png",4,220,900)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-0.01437924634</v>
      </c>
      <c r="G1050" t="n">
        <v>0.6582703558206302</v>
      </c>
      <c r="H1050" t="n">
        <v>0.0260875286117268</v>
      </c>
      <c r="I1050" t="n">
        <v>0.0535716127307711</v>
      </c>
      <c r="J1050" t="n">
        <v>0.0002403346883066</v>
      </c>
      <c r="K1050" t="n">
        <v>0.949980603544014</v>
      </c>
      <c r="L1050" t="b">
        <v>0</v>
      </c>
      <c r="M1050" t="b">
        <v>0</v>
      </c>
      <c r="N1050" t="inlineStr">
        <is>
          <t>ref</t>
        </is>
      </c>
      <c r="O1050" t="n">
        <v>-40</v>
      </c>
      <c r="P1050" t="n">
        <v>0.0005875</v>
      </c>
      <c r="Q1050" t="n">
        <v>100</v>
      </c>
      <c r="R1050" t="n">
        <v>0.1357</v>
      </c>
      <c r="S1050">
        <f>IMAGE("https://mitra.stanford.edu/kundaje/oak/projects/neuro-variants/variant_position/credible/roussos_2024/variant_figures/roussos_2024.adolescence.Astrocyte/rs9563564_count_position.png",4,220,900)</f>
        <v/>
      </c>
      <c r="T1050">
        <f>IMAGE("https://mitra.stanford.edu/kundaje/oak/projects/neuro-variants/variant_position/credible/roussos_2024/variant_figures/roussos_2024.adolescence.Astrocyte/rs9563564_profile_position.png",4,220,900)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0.0341340647999999</v>
      </c>
      <c r="G1051" t="n">
        <v>0.3681921763135041</v>
      </c>
      <c r="H1051" t="n">
        <v>0.0120375776132372</v>
      </c>
      <c r="I1051" t="n">
        <v>0.5341312672612512</v>
      </c>
      <c r="J1051" t="n">
        <v>0.0007054268166038</v>
      </c>
      <c r="K1051" t="n">
        <v>0.9147679228177416</v>
      </c>
      <c r="L1051" t="b">
        <v>0</v>
      </c>
      <c r="M1051" t="b">
        <v>0</v>
      </c>
      <c r="N1051" t="inlineStr">
        <is>
          <t>alt</t>
        </is>
      </c>
      <c r="O1051" t="n">
        <v>70</v>
      </c>
      <c r="P1051" t="n">
        <v>0.011406</v>
      </c>
      <c r="Q1051" t="n">
        <v>100</v>
      </c>
      <c r="R1051" t="n">
        <v>0.2064</v>
      </c>
      <c r="S1051">
        <f>IMAGE("https://mitra.stanford.edu/kundaje/oak/projects/neuro-variants/variant_position/credible/roussos_2024/variant_figures/roussos_2024.adolescence.Astrocyte/rs9569791_count_position.png",4,220,900)</f>
        <v/>
      </c>
      <c r="T1051">
        <f>IMAGE("https://mitra.stanford.edu/kundaje/oak/projects/neuro-variants/variant_position/credible/roussos_2024/variant_figures/roussos_2024.adolescence.Astrocyte/rs9569791_profile_position.png",4,220,900)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-0.0964807809999999</v>
      </c>
      <c r="G1052" t="n">
        <v>0.0837009026542479</v>
      </c>
      <c r="H1052" t="n">
        <v>0.0155341500691941</v>
      </c>
      <c r="I1052" t="n">
        <v>0.2954225237963573</v>
      </c>
      <c r="J1052" t="n">
        <v>0.0007172951962732</v>
      </c>
      <c r="K1052" t="n">
        <v>0.9179647749637592</v>
      </c>
      <c r="L1052" t="b">
        <v>0</v>
      </c>
      <c r="M1052" t="b">
        <v>0</v>
      </c>
      <c r="N1052" t="inlineStr">
        <is>
          <t>ref</t>
        </is>
      </c>
      <c r="O1052" t="n">
        <v>100</v>
      </c>
      <c r="P1052" t="n">
        <v>0.0408</v>
      </c>
      <c r="Q1052" t="n">
        <v>100</v>
      </c>
      <c r="R1052" t="n">
        <v>0.06223</v>
      </c>
      <c r="S1052">
        <f>IMAGE("https://mitra.stanford.edu/kundaje/oak/projects/neuro-variants/variant_position/credible/roussos_2024/variant_figures/roussos_2024.adolescence.Astrocyte/rs9569794_count_position.png",4,220,900)</f>
        <v/>
      </c>
      <c r="T1052">
        <f>IMAGE("https://mitra.stanford.edu/kundaje/oak/projects/neuro-variants/variant_position/credible/roussos_2024/variant_figures/roussos_2024.adolescence.Astrocyte/rs9569794_profile_position.png",4,220,900)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-0.09415956698</v>
      </c>
      <c r="G1053" t="n">
        <v>0.1158717930881782</v>
      </c>
      <c r="H1053" t="n">
        <v>0.0174834069855776</v>
      </c>
      <c r="I1053" t="n">
        <v>0.2165539124360355</v>
      </c>
      <c r="J1053" t="n">
        <v>0.035718630388986</v>
      </c>
      <c r="K1053" t="n">
        <v>0.4906733631022388</v>
      </c>
      <c r="L1053" t="b">
        <v>0</v>
      </c>
      <c r="M1053" t="b">
        <v>0</v>
      </c>
      <c r="N1053" t="inlineStr">
        <is>
          <t>ref</t>
        </is>
      </c>
      <c r="O1053" t="n">
        <v>30</v>
      </c>
      <c r="P1053" t="n">
        <v>0.003845</v>
      </c>
      <c r="Q1053" t="n">
        <v>-45</v>
      </c>
      <c r="R1053" t="n">
        <v>0.04053</v>
      </c>
      <c r="S1053">
        <f>IMAGE("https://mitra.stanford.edu/kundaje/oak/projects/neuro-variants/variant_position/credible/roussos_2024/variant_figures/roussos_2024.adolescence.Astrocyte/rs9316967_count_position.png",4,220,900)</f>
        <v/>
      </c>
      <c r="T1053">
        <f>IMAGE("https://mitra.stanford.edu/kundaje/oak/projects/neuro-variants/variant_position/credible/roussos_2024/variant_figures/roussos_2024.adolescence.Astrocyte/rs9316967_profile_position.png",4,220,900)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-0.01126657832</v>
      </c>
      <c r="G1054" t="n">
        <v>0.4297035757857317</v>
      </c>
      <c r="H1054" t="n">
        <v>0.0151636567813995</v>
      </c>
      <c r="I1054" t="n">
        <v>0.3160770928401719</v>
      </c>
      <c r="J1054" t="n">
        <v>0.0006794647360767999</v>
      </c>
      <c r="K1054" t="n">
        <v>0.9077002731513248</v>
      </c>
      <c r="L1054" t="b">
        <v>0</v>
      </c>
      <c r="M1054" t="b">
        <v>0</v>
      </c>
      <c r="N1054" t="inlineStr">
        <is>
          <t>ref</t>
        </is>
      </c>
      <c r="O1054" t="n">
        <v>-25</v>
      </c>
      <c r="P1054" t="n">
        <v>0.006294</v>
      </c>
      <c r="Q1054" t="n">
        <v>25</v>
      </c>
      <c r="R1054" t="n">
        <v>0.02817</v>
      </c>
      <c r="S1054">
        <f>IMAGE("https://mitra.stanford.edu/kundaje/oak/projects/neuro-variants/variant_position/credible/roussos_2024/variant_figures/roussos_2024.adolescence.Astrocyte/rs9634882_count_position.png",4,220,900)</f>
        <v/>
      </c>
      <c r="T1054">
        <f>IMAGE("https://mitra.stanford.edu/kundaje/oak/projects/neuro-variants/variant_position/credible/roussos_2024/variant_figures/roussos_2024.adolescence.Astrocyte/rs9634882_profile_position.png",4,220,900)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0.0064116465999999</v>
      </c>
      <c r="G1055" t="n">
        <v>0.6824677299012515</v>
      </c>
      <c r="H1055" t="n">
        <v>0.0127974738851365</v>
      </c>
      <c r="I1055" t="n">
        <v>0.4774403400125518</v>
      </c>
      <c r="J1055" t="n">
        <v>0.0240668486484882</v>
      </c>
      <c r="K1055" t="n">
        <v>0.5564856267576951</v>
      </c>
      <c r="L1055" t="b">
        <v>0</v>
      </c>
      <c r="M1055" t="b">
        <v>0</v>
      </c>
      <c r="N1055" t="inlineStr">
        <is>
          <t>alt</t>
        </is>
      </c>
      <c r="O1055" t="n">
        <v>70</v>
      </c>
      <c r="P1055" t="n">
        <v>0.01454</v>
      </c>
      <c r="Q1055" t="n">
        <v>0</v>
      </c>
      <c r="R1055" t="n">
        <v>0</v>
      </c>
      <c r="S1055">
        <f>IMAGE("https://mitra.stanford.edu/kundaje/oak/projects/neuro-variants/variant_position/credible/roussos_2024/variant_figures/roussos_2024.adolescence.Astrocyte/rs11148423_count_position.png",4,220,900)</f>
        <v/>
      </c>
      <c r="T1055">
        <f>IMAGE("https://mitra.stanford.edu/kundaje/oak/projects/neuro-variants/variant_position/credible/roussos_2024/variant_figures/roussos_2024.adolescence.Astrocyte/rs11148423_profile_position.png",4,220,900)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-0.12031127</v>
      </c>
      <c r="G1056" t="n">
        <v>0.0604228820550006</v>
      </c>
      <c r="H1056" t="n">
        <v>0.0265394799514779</v>
      </c>
      <c r="I1056" t="n">
        <v>0.0513157599683823</v>
      </c>
      <c r="J1056" t="n">
        <v>0.0608603091712903</v>
      </c>
      <c r="K1056" t="n">
        <v>0.4055542941060412</v>
      </c>
      <c r="L1056" t="b">
        <v>0</v>
      </c>
      <c r="M1056" t="b">
        <v>0</v>
      </c>
      <c r="N1056" t="inlineStr">
        <is>
          <t>ref</t>
        </is>
      </c>
      <c r="O1056" t="n">
        <v>75</v>
      </c>
      <c r="P1056" t="n">
        <v>0.02136</v>
      </c>
      <c r="Q1056" t="n">
        <v>75</v>
      </c>
      <c r="R1056" t="n">
        <v>0.3074</v>
      </c>
      <c r="S1056">
        <f>IMAGE("https://mitra.stanford.edu/kundaje/oak/projects/neuro-variants/variant_position/credible/roussos_2024/variant_figures/roussos_2024.adolescence.Astrocyte/rs7998206_count_position.png",4,220,900)</f>
        <v/>
      </c>
      <c r="T1056">
        <f>IMAGE("https://mitra.stanford.edu/kundaje/oak/projects/neuro-variants/variant_position/credible/roussos_2024/variant_figures/roussos_2024.adolescence.Astrocyte/rs7998206_profile_position.png",4,220,900)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0.2203929806</v>
      </c>
      <c r="G1057" t="n">
        <v>0.0214514419925697</v>
      </c>
      <c r="H1057" t="n">
        <v>0.0211763771652616</v>
      </c>
      <c r="I1057" t="n">
        <v>0.1257945347989272</v>
      </c>
      <c r="J1057" t="n">
        <v>0.0103714802836542</v>
      </c>
      <c r="K1057" t="n">
        <v>0.6616341503031035</v>
      </c>
      <c r="L1057" t="b">
        <v>0</v>
      </c>
      <c r="M1057" t="b">
        <v>0</v>
      </c>
      <c r="N1057" t="inlineStr">
        <is>
          <t>alt</t>
        </is>
      </c>
      <c r="O1057" t="n">
        <v>100</v>
      </c>
      <c r="P1057" t="n">
        <v>0.005314</v>
      </c>
      <c r="Q1057" t="n">
        <v>40</v>
      </c>
      <c r="R1057" t="n">
        <v>0.00525</v>
      </c>
      <c r="S1057">
        <f>IMAGE("https://mitra.stanford.edu/kundaje/oak/projects/neuro-variants/variant_position/credible/roussos_2024/variant_figures/roussos_2024.adolescence.Astrocyte/rs9563574_count_position.png",4,220,900)</f>
        <v/>
      </c>
      <c r="T1057">
        <f>IMAGE("https://mitra.stanford.edu/kundaje/oak/projects/neuro-variants/variant_position/credible/roussos_2024/variant_figures/roussos_2024.adolescence.Astrocyte/rs9563574_profile_position.png",4,220,900)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-0.0182686805999999</v>
      </c>
      <c r="G1058" t="n">
        <v>0.5776837954099826</v>
      </c>
      <c r="H1058" t="n">
        <v>0.0407866150950228</v>
      </c>
      <c r="I1058" t="n">
        <v>0.0089109439956354</v>
      </c>
      <c r="J1058" t="n">
        <v>0.000697267305581</v>
      </c>
      <c r="K1058" t="n">
        <v>0.9048609059141308</v>
      </c>
      <c r="L1058" t="b">
        <v>0</v>
      </c>
      <c r="M1058" t="b">
        <v>0</v>
      </c>
      <c r="N1058" t="inlineStr">
        <is>
          <t>ref</t>
        </is>
      </c>
      <c r="O1058" t="n">
        <v>100</v>
      </c>
      <c r="P1058" t="n">
        <v>0.004417</v>
      </c>
      <c r="Q1058" t="n">
        <v>-50</v>
      </c>
      <c r="R1058" t="n">
        <v>0.04257</v>
      </c>
      <c r="S1058">
        <f>IMAGE("https://mitra.stanford.edu/kundaje/oak/projects/neuro-variants/variant_position/credible/roussos_2024/variant_figures/roussos_2024.adolescence.Astrocyte/rs9569815_count_position.png",4,220,900)</f>
        <v/>
      </c>
      <c r="T1058">
        <f>IMAGE("https://mitra.stanford.edu/kundaje/oak/projects/neuro-variants/variant_position/credible/roussos_2024/variant_figures/roussos_2024.adolescence.Astrocyte/rs9569815_profile_position.png",4,220,900)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-0.01288449952</v>
      </c>
      <c r="G1059" t="n">
        <v>0.6915908425077006</v>
      </c>
      <c r="H1059" t="n">
        <v>0.0271987542131771</v>
      </c>
      <c r="I1059" t="n">
        <v>0.0459333368526477</v>
      </c>
      <c r="J1059" t="n">
        <v>0.000189152300982</v>
      </c>
      <c r="K1059" t="n">
        <v>0.9683276556511492</v>
      </c>
      <c r="L1059" t="b">
        <v>0</v>
      </c>
      <c r="M1059" t="b">
        <v>0</v>
      </c>
      <c r="N1059" t="inlineStr">
        <is>
          <t>ref</t>
        </is>
      </c>
      <c r="O1059" t="n">
        <v>-40</v>
      </c>
      <c r="P1059" t="n">
        <v>0.01149</v>
      </c>
      <c r="Q1059" t="n">
        <v>85</v>
      </c>
      <c r="R1059" t="n">
        <v>0.09174</v>
      </c>
      <c r="S1059">
        <f>IMAGE("https://mitra.stanford.edu/kundaje/oak/projects/neuro-variants/variant_position/credible/roussos_2024/variant_figures/roussos_2024.adolescence.Astrocyte/rs34723208_count_position.png",4,220,900)</f>
        <v/>
      </c>
      <c r="T1059">
        <f>IMAGE("https://mitra.stanford.edu/kundaje/oak/projects/neuro-variants/variant_position/credible/roussos_2024/variant_figures/roussos_2024.adolescence.Astrocyte/rs34723208_profile_position.png",4,220,900)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0.007974604026</v>
      </c>
      <c r="G1060" t="n">
        <v>0.7856597326118977</v>
      </c>
      <c r="H1060" t="n">
        <v>0.0313435691687142</v>
      </c>
      <c r="I1060" t="n">
        <v>0.0266271727524534</v>
      </c>
      <c r="J1060" t="n">
        <v>0.001978310536154</v>
      </c>
      <c r="K1060" t="n">
        <v>0.8257045144369759</v>
      </c>
      <c r="L1060" t="b">
        <v>0</v>
      </c>
      <c r="M1060" t="b">
        <v>0</v>
      </c>
      <c r="N1060" t="inlineStr">
        <is>
          <t>alt</t>
        </is>
      </c>
      <c r="O1060" t="n">
        <v>-90</v>
      </c>
      <c r="P1060" t="n">
        <v>0.008789999999999999</v>
      </c>
      <c r="Q1060" t="n">
        <v>-95</v>
      </c>
      <c r="R1060" t="n">
        <v>0.2585</v>
      </c>
      <c r="S1060">
        <f>IMAGE("https://mitra.stanford.edu/kundaje/oak/projects/neuro-variants/variant_position/credible/roussos_2024/variant_figures/roussos_2024.adolescence.Astrocyte/rs7989885_count_position.png",4,220,900)</f>
        <v/>
      </c>
      <c r="T1060">
        <f>IMAGE("https://mitra.stanford.edu/kundaje/oak/projects/neuro-variants/variant_position/credible/roussos_2024/variant_figures/roussos_2024.adolescence.Astrocyte/rs7989885_profile_position.png",4,220,900)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-0.0318292226</v>
      </c>
      <c r="G1061" t="n">
        <v>0.3988621826730907</v>
      </c>
      <c r="H1061" t="n">
        <v>0.0327140533974967</v>
      </c>
      <c r="I1061" t="n">
        <v>0.0219280345771451</v>
      </c>
      <c r="J1061" t="n">
        <v>0.0344442631219771</v>
      </c>
      <c r="K1061" t="n">
        <v>0.4945084667159592</v>
      </c>
      <c r="L1061" t="b">
        <v>0</v>
      </c>
      <c r="M1061" t="b">
        <v>0</v>
      </c>
      <c r="N1061" t="inlineStr">
        <is>
          <t>ref</t>
        </is>
      </c>
      <c r="O1061" t="n">
        <v>-100</v>
      </c>
      <c r="P1061" t="n">
        <v>0.02881</v>
      </c>
      <c r="Q1061" t="n">
        <v>-10</v>
      </c>
      <c r="R1061" t="n">
        <v>0.0321</v>
      </c>
      <c r="S1061">
        <f>IMAGE("https://mitra.stanford.edu/kundaje/oak/projects/neuro-variants/variant_position/credible/roussos_2024/variant_figures/roussos_2024.adolescence.Astrocyte/rs4886061_count_position.png",4,220,900)</f>
        <v/>
      </c>
      <c r="T1061">
        <f>IMAGE("https://mitra.stanford.edu/kundaje/oak/projects/neuro-variants/variant_position/credible/roussos_2024/variant_figures/roussos_2024.adolescence.Astrocyte/rs4886061_profile_position.png",4,220,900)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-0.030751287</v>
      </c>
      <c r="G1062" t="n">
        <v>0.4075596473390547</v>
      </c>
      <c r="H1062" t="n">
        <v>0.0315966072818241</v>
      </c>
      <c r="I1062" t="n">
        <v>0.0252953119894619</v>
      </c>
      <c r="J1062" t="n">
        <v>0.0343589591431029</v>
      </c>
      <c r="K1062" t="n">
        <v>0.4948873301228413</v>
      </c>
      <c r="L1062" t="b">
        <v>0</v>
      </c>
      <c r="M1062" t="b">
        <v>0</v>
      </c>
      <c r="N1062" t="inlineStr">
        <is>
          <t>ref</t>
        </is>
      </c>
      <c r="O1062" t="n">
        <v>-100</v>
      </c>
      <c r="P1062" t="n">
        <v>0.02841</v>
      </c>
      <c r="Q1062" t="n">
        <v>-15</v>
      </c>
      <c r="R1062" t="n">
        <v>0.0299</v>
      </c>
      <c r="S1062">
        <f>IMAGE("https://mitra.stanford.edu/kundaje/oak/projects/neuro-variants/variant_position/credible/roussos_2024/variant_figures/roussos_2024.adolescence.Astrocyte/rs66514580_count_position.png",4,220,900)</f>
        <v/>
      </c>
      <c r="T1062">
        <f>IMAGE("https://mitra.stanford.edu/kundaje/oak/projects/neuro-variants/variant_position/credible/roussos_2024/variant_figures/roussos_2024.adolescence.Astrocyte/rs66514580_profile_position.png",4,220,900)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0.00291472372</v>
      </c>
      <c r="G1063" t="n">
        <v>0.859521314079689</v>
      </c>
      <c r="H1063" t="n">
        <v>0.0214913604111074</v>
      </c>
      <c r="I1063" t="n">
        <v>0.1113788119573584</v>
      </c>
      <c r="J1063" t="n">
        <v>9.049639497966736e-05</v>
      </c>
      <c r="K1063" t="n">
        <v>0.9808598586717164</v>
      </c>
      <c r="L1063" t="b">
        <v>0</v>
      </c>
      <c r="M1063" t="b">
        <v>0</v>
      </c>
      <c r="N1063" t="inlineStr">
        <is>
          <t>alt</t>
        </is>
      </c>
      <c r="O1063" t="n">
        <v>0</v>
      </c>
      <c r="P1063" t="n">
        <v>0</v>
      </c>
      <c r="Q1063" t="n">
        <v>100</v>
      </c>
      <c r="R1063" t="n">
        <v>0.10455</v>
      </c>
      <c r="S1063">
        <f>IMAGE("https://mitra.stanford.edu/kundaje/oak/projects/neuro-variants/variant_position/credible/roussos_2024/variant_figures/roussos_2024.adolescence.Astrocyte/rs4884299_count_position.png",4,220,900)</f>
        <v/>
      </c>
      <c r="T1063">
        <f>IMAGE("https://mitra.stanford.edu/kundaje/oak/projects/neuro-variants/variant_position/credible/roussos_2024/variant_figures/roussos_2024.adolescence.Astrocyte/rs4884299_profile_position.png",4,220,900)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-0.0362059504</v>
      </c>
      <c r="G1064" t="n">
        <v>0.3617332172010629</v>
      </c>
      <c r="H1064" t="n">
        <v>0.0132787074216506</v>
      </c>
      <c r="I1064" t="n">
        <v>0.441360696907369</v>
      </c>
      <c r="J1064" t="n">
        <v>0.0089584013292584</v>
      </c>
      <c r="K1064" t="n">
        <v>0.6756725279693423</v>
      </c>
      <c r="L1064" t="b">
        <v>0</v>
      </c>
      <c r="M1064" t="b">
        <v>0</v>
      </c>
      <c r="N1064" t="inlineStr">
        <is>
          <t>ref</t>
        </is>
      </c>
      <c r="O1064" t="n">
        <v>20</v>
      </c>
      <c r="P1064" t="n">
        <v>0.001953</v>
      </c>
      <c r="Q1064" t="n">
        <v>15</v>
      </c>
      <c r="R1064" t="n">
        <v>0.03662</v>
      </c>
      <c r="S1064">
        <f>IMAGE("https://mitra.stanford.edu/kundaje/oak/projects/neuro-variants/variant_position/credible/roussos_2024/variant_figures/roussos_2024.adolescence.Astrocyte/rs56313517_count_position.png",4,220,900)</f>
        <v/>
      </c>
      <c r="T1064">
        <f>IMAGE("https://mitra.stanford.edu/kundaje/oak/projects/neuro-variants/variant_position/credible/roussos_2024/variant_figures/roussos_2024.adolescence.Astrocyte/rs56313517_profile_position.png",4,220,900)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0.0890102644</v>
      </c>
      <c r="G1065" t="n">
        <v>0.09377460389104519</v>
      </c>
      <c r="H1065" t="n">
        <v>0.0212335300332603</v>
      </c>
      <c r="I1065" t="n">
        <v>0.1131923873149038</v>
      </c>
      <c r="J1065" t="n">
        <v>0.0011452986381033</v>
      </c>
      <c r="K1065" t="n">
        <v>0.8702211684092659</v>
      </c>
      <c r="L1065" t="b">
        <v>0</v>
      </c>
      <c r="M1065" t="b">
        <v>0</v>
      </c>
      <c r="N1065" t="inlineStr">
        <is>
          <t>alt</t>
        </is>
      </c>
      <c r="O1065" t="n">
        <v>20</v>
      </c>
      <c r="P1065" t="n">
        <v>0.0008593</v>
      </c>
      <c r="Q1065" t="n">
        <v>85</v>
      </c>
      <c r="R1065" t="n">
        <v>0.02478</v>
      </c>
      <c r="S1065">
        <f>IMAGE("https://mitra.stanford.edu/kundaje/oak/projects/neuro-variants/variant_position/credible/roussos_2024/variant_figures/roussos_2024.adolescence.Astrocyte/rs9571511_count_position.png",4,220,900)</f>
        <v/>
      </c>
      <c r="T1065">
        <f>IMAGE("https://mitra.stanford.edu/kundaje/oak/projects/neuro-variants/variant_position/credible/roussos_2024/variant_figures/roussos_2024.adolescence.Astrocyte/rs9571511_profile_position.png",4,220,900)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0.247502054</v>
      </c>
      <c r="G1066" t="n">
        <v>0.011114793154167</v>
      </c>
      <c r="H1066" t="n">
        <v>0.0259710114442053</v>
      </c>
      <c r="I1066" t="n">
        <v>0.0561845004664665</v>
      </c>
      <c r="J1066" t="n">
        <v>0.0916112808948757</v>
      </c>
      <c r="K1066" t="n">
        <v>0.3359236877189095</v>
      </c>
      <c r="L1066" t="b">
        <v>1</v>
      </c>
      <c r="M1066" t="b">
        <v>0</v>
      </c>
      <c r="N1066" t="inlineStr">
        <is>
          <t>alt</t>
        </is>
      </c>
      <c r="O1066" t="n">
        <v>80</v>
      </c>
      <c r="P1066" t="n">
        <v>0.002869</v>
      </c>
      <c r="Q1066" t="n">
        <v>-30</v>
      </c>
      <c r="R1066" t="n">
        <v>0.05664</v>
      </c>
      <c r="S1066">
        <f>IMAGE("https://mitra.stanford.edu/kundaje/oak/projects/neuro-variants/variant_position/credible/roussos_2024/variant_figures/roussos_2024.adolescence.Astrocyte/rs9545047_count_position.png",4,220,900)</f>
        <v/>
      </c>
      <c r="T1066">
        <f>IMAGE("https://mitra.stanford.edu/kundaje/oak/projects/neuro-variants/variant_position/credible/roussos_2024/variant_figures/roussos_2024.adolescence.Astrocyte/rs9545047_profile_position.png",4,220,900)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-0.0514220828</v>
      </c>
      <c r="G1067" t="n">
        <v>0.2389868695425379</v>
      </c>
      <c r="H1067" t="n">
        <v>0.0341038606015368</v>
      </c>
      <c r="I1067" t="n">
        <v>0.0185988782729215</v>
      </c>
      <c r="J1067" t="n">
        <v>0.0067338219149629</v>
      </c>
      <c r="K1067" t="n">
        <v>0.7147362693994764</v>
      </c>
      <c r="L1067" t="b">
        <v>0</v>
      </c>
      <c r="M1067" t="b">
        <v>0</v>
      </c>
      <c r="N1067" t="inlineStr">
        <is>
          <t>ref</t>
        </is>
      </c>
      <c r="O1067" t="n">
        <v>-10</v>
      </c>
      <c r="P1067" t="n">
        <v>0.001</v>
      </c>
      <c r="Q1067" t="n">
        <v>-35</v>
      </c>
      <c r="R1067" t="n">
        <v>0.05127</v>
      </c>
      <c r="S1067">
        <f>IMAGE("https://mitra.stanford.edu/kundaje/oak/projects/neuro-variants/variant_position/credible/roussos_2024/variant_figures/roussos_2024.adolescence.Astrocyte/rs9545087_count_position.png",4,220,900)</f>
        <v/>
      </c>
      <c r="T1067">
        <f>IMAGE("https://mitra.stanford.edu/kundaje/oak/projects/neuro-variants/variant_position/credible/roussos_2024/variant_figures/roussos_2024.adolescence.Astrocyte/rs9545087_profile_position.png",4,220,900)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-0.01121199581</v>
      </c>
      <c r="G1068" t="n">
        <v>0.7097725798722571</v>
      </c>
      <c r="H1068" t="n">
        <v>0.0273958046540923</v>
      </c>
      <c r="I1068" t="n">
        <v>0.04444672417844</v>
      </c>
      <c r="J1068" t="n">
        <v>0.0006772394148888</v>
      </c>
      <c r="K1068" t="n">
        <v>0.8943213699755579</v>
      </c>
      <c r="L1068" t="b">
        <v>0</v>
      </c>
      <c r="M1068" t="b">
        <v>0</v>
      </c>
      <c r="N1068" t="inlineStr">
        <is>
          <t>ref</t>
        </is>
      </c>
      <c r="O1068" t="n">
        <v>55</v>
      </c>
      <c r="P1068" t="n">
        <v>0.03168</v>
      </c>
      <c r="Q1068" t="n">
        <v>80</v>
      </c>
      <c r="R1068" t="n">
        <v>0.04095</v>
      </c>
      <c r="S1068">
        <f>IMAGE("https://mitra.stanford.edu/kundaje/oak/projects/neuro-variants/variant_position/credible/roussos_2024/variant_figures/roussos_2024.adolescence.Astrocyte/rs9530904_count_position.png",4,220,900)</f>
        <v/>
      </c>
      <c r="T1068">
        <f>IMAGE("https://mitra.stanford.edu/kundaje/oak/projects/neuro-variants/variant_position/credible/roussos_2024/variant_figures/roussos_2024.adolescence.Astrocyte/rs9530904_profile_position.png",4,220,900)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0.01831828046</v>
      </c>
      <c r="G1069" t="n">
        <v>0.5537158831923651</v>
      </c>
      <c r="H1069" t="n">
        <v>0.0256527439462091</v>
      </c>
      <c r="I1069" t="n">
        <v>0.0572998682533601</v>
      </c>
      <c r="J1069" t="n">
        <v>0.0037993650416876</v>
      </c>
      <c r="K1069" t="n">
        <v>0.7631037162708242</v>
      </c>
      <c r="L1069" t="b">
        <v>0</v>
      </c>
      <c r="M1069" t="b">
        <v>0</v>
      </c>
      <c r="N1069" t="inlineStr">
        <is>
          <t>alt</t>
        </is>
      </c>
      <c r="O1069" t="n">
        <v>90</v>
      </c>
      <c r="P1069" t="n">
        <v>0.0143</v>
      </c>
      <c r="Q1069" t="n">
        <v>-85</v>
      </c>
      <c r="R1069" t="n">
        <v>0.067</v>
      </c>
      <c r="S1069">
        <f>IMAGE("https://mitra.stanford.edu/kundaje/oak/projects/neuro-variants/variant_position/credible/roussos_2024/variant_figures/roussos_2024.adolescence.Astrocyte/rs9545108_count_position.png",4,220,900)</f>
        <v/>
      </c>
      <c r="T1069">
        <f>IMAGE("https://mitra.stanford.edu/kundaje/oak/projects/neuro-variants/variant_position/credible/roussos_2024/variant_figures/roussos_2024.adolescence.Astrocyte/rs9545108_profile_position.png",4,220,900)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-0.0493805268</v>
      </c>
      <c r="G1070" t="n">
        <v>0.2437852491010168</v>
      </c>
      <c r="H1070" t="n">
        <v>0.0130888556603395</v>
      </c>
      <c r="I1070" t="n">
        <v>0.4436807770507694</v>
      </c>
      <c r="J1070" t="n">
        <v>0.1378319437438803</v>
      </c>
      <c r="K1070" t="n">
        <v>0.2759216065260839</v>
      </c>
      <c r="L1070" t="b">
        <v>0</v>
      </c>
      <c r="M1070" t="b">
        <v>0</v>
      </c>
      <c r="N1070" t="inlineStr">
        <is>
          <t>ref</t>
        </is>
      </c>
      <c r="O1070" t="n">
        <v>-35</v>
      </c>
      <c r="P1070" t="n">
        <v>0.003883</v>
      </c>
      <c r="Q1070" t="n">
        <v>100</v>
      </c>
      <c r="R1070" t="n">
        <v>0.3054</v>
      </c>
      <c r="S1070">
        <f>IMAGE("https://mitra.stanford.edu/kundaje/oak/projects/neuro-variants/variant_position/credible/roussos_2024/variant_figures/roussos_2024.adolescence.Astrocyte/rs9574422_count_position.png",4,220,900)</f>
        <v/>
      </c>
      <c r="T1070">
        <f>IMAGE("https://mitra.stanford.edu/kundaje/oak/projects/neuro-variants/variant_position/credible/roussos_2024/variant_figures/roussos_2024.adolescence.Astrocyte/rs9574422_profile_position.png",4,220,900)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0.0254750631399999</v>
      </c>
      <c r="G1071" t="n">
        <v>0.4548251184729939</v>
      </c>
      <c r="H1071" t="n">
        <v>0.0317958432767573</v>
      </c>
      <c r="I1071" t="n">
        <v>0.024564264189995</v>
      </c>
      <c r="J1071" t="n">
        <v>0.0186519004242945</v>
      </c>
      <c r="K1071" t="n">
        <v>0.5901395875023916</v>
      </c>
      <c r="L1071" t="b">
        <v>0</v>
      </c>
      <c r="M1071" t="b">
        <v>0</v>
      </c>
      <c r="N1071" t="inlineStr">
        <is>
          <t>alt</t>
        </is>
      </c>
      <c r="O1071" t="n">
        <v>-100</v>
      </c>
      <c r="P1071" t="n">
        <v>0.0064</v>
      </c>
      <c r="Q1071" t="n">
        <v>-55</v>
      </c>
      <c r="R1071" t="n">
        <v>0.07776</v>
      </c>
      <c r="S1071">
        <f>IMAGE("https://mitra.stanford.edu/kundaje/oak/projects/neuro-variants/variant_position/credible/roussos_2024/variant_figures/roussos_2024.adolescence.Astrocyte/rs1840492_count_position.png",4,220,900)</f>
        <v/>
      </c>
      <c r="T1071">
        <f>IMAGE("https://mitra.stanford.edu/kundaje/oak/projects/neuro-variants/variant_position/credible/roussos_2024/variant_figures/roussos_2024.adolescence.Astrocyte/rs1840492_profile_position.png",4,220,900)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-0.088019559</v>
      </c>
      <c r="G1072" t="n">
        <v>0.0986031927242442</v>
      </c>
      <c r="H1072" t="n">
        <v>0.0135234728950591</v>
      </c>
      <c r="I1072" t="n">
        <v>0.4201776239811105</v>
      </c>
      <c r="J1072" t="n">
        <v>0.0030694596920155</v>
      </c>
      <c r="K1072" t="n">
        <v>0.8002760048875333</v>
      </c>
      <c r="L1072" t="b">
        <v>0</v>
      </c>
      <c r="M1072" t="b">
        <v>0</v>
      </c>
      <c r="N1072" t="inlineStr">
        <is>
          <t>ref</t>
        </is>
      </c>
      <c r="O1072" t="n">
        <v>15</v>
      </c>
      <c r="P1072" t="n">
        <v>0.000618</v>
      </c>
      <c r="Q1072" t="n">
        <v>-85</v>
      </c>
      <c r="R1072" t="n">
        <v>0.06665</v>
      </c>
      <c r="S1072">
        <f>IMAGE("https://mitra.stanford.edu/kundaje/oak/projects/neuro-variants/variant_position/credible/roussos_2024/variant_figures/roussos_2024.adolescence.Astrocyte/rs2347140_count_position.png",4,220,900)</f>
        <v/>
      </c>
      <c r="T1072">
        <f>IMAGE("https://mitra.stanford.edu/kundaje/oak/projects/neuro-variants/variant_position/credible/roussos_2024/variant_figures/roussos_2024.adolescence.Astrocyte/rs2347140_profile_position.png",4,220,900)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-0.1482794972</v>
      </c>
      <c r="G1073" t="n">
        <v>0.0418477227541037</v>
      </c>
      <c r="H1073" t="n">
        <v>0.0284214720655016</v>
      </c>
      <c r="I1073" t="n">
        <v>0.0404260918234041</v>
      </c>
      <c r="J1073" t="n">
        <v>0.0063399400646825</v>
      </c>
      <c r="K1073" t="n">
        <v>0.7291391309617976</v>
      </c>
      <c r="L1073" t="b">
        <v>0</v>
      </c>
      <c r="M1073" t="b">
        <v>0</v>
      </c>
      <c r="N1073" t="inlineStr">
        <is>
          <t>ref</t>
        </is>
      </c>
      <c r="O1073" t="n">
        <v>10</v>
      </c>
      <c r="P1073" t="n">
        <v>0.0005493</v>
      </c>
      <c r="Q1073" t="n">
        <v>15</v>
      </c>
      <c r="R1073" t="n">
        <v>0.02222</v>
      </c>
      <c r="S1073">
        <f>IMAGE("https://mitra.stanford.edu/kundaje/oak/projects/neuro-variants/variant_position/credible/roussos_2024/variant_figures/roussos_2024.adolescence.Astrocyte/rs396977_count_position.png",4,220,900)</f>
        <v/>
      </c>
      <c r="T1073">
        <f>IMAGE("https://mitra.stanford.edu/kundaje/oak/projects/neuro-variants/variant_position/credible/roussos_2024/variant_figures/roussos_2024.adolescence.Astrocyte/rs396977_profile_position.png",4,220,900)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-0.01456588248</v>
      </c>
      <c r="G1074" t="n">
        <v>0.6429429936234116</v>
      </c>
      <c r="H1074" t="n">
        <v>0.0226657791703539</v>
      </c>
      <c r="I1074" t="n">
        <v>0.0901279237741936</v>
      </c>
      <c r="J1074" t="n">
        <v>0.0001483547458682</v>
      </c>
      <c r="K1074" t="n">
        <v>0.9665235838098634</v>
      </c>
      <c r="L1074" t="b">
        <v>0</v>
      </c>
      <c r="M1074" t="b">
        <v>0</v>
      </c>
      <c r="N1074" t="inlineStr">
        <is>
          <t>ref</t>
        </is>
      </c>
      <c r="O1074" t="n">
        <v>35</v>
      </c>
      <c r="P1074" t="n">
        <v>0.012344</v>
      </c>
      <c r="Q1074" t="n">
        <v>40</v>
      </c>
      <c r="R1074" t="n">
        <v>0.04596</v>
      </c>
      <c r="S1074">
        <f>IMAGE("https://mitra.stanford.edu/kundaje/oak/projects/neuro-variants/variant_position/credible/roussos_2024/variant_figures/roussos_2024.adolescence.Astrocyte/rs430275_count_position.png",4,220,900)</f>
        <v/>
      </c>
      <c r="T1074">
        <f>IMAGE("https://mitra.stanford.edu/kundaje/oak/projects/neuro-variants/variant_position/credible/roussos_2024/variant_figures/roussos_2024.adolescence.Astrocyte/rs430275_profile_position.png",4,220,900)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0.052623739</v>
      </c>
      <c r="G1075" t="n">
        <v>0.2157296112724367</v>
      </c>
      <c r="H1075" t="n">
        <v>0.0124616706143909</v>
      </c>
      <c r="I1075" t="n">
        <v>0.5154977673240846</v>
      </c>
      <c r="J1075" t="n">
        <v>0.0788364537281547</v>
      </c>
      <c r="K1075" t="n">
        <v>0.3678501081399822</v>
      </c>
      <c r="L1075" t="b">
        <v>0</v>
      </c>
      <c r="M1075" t="b">
        <v>0</v>
      </c>
      <c r="N1075" t="inlineStr">
        <is>
          <t>alt</t>
        </is>
      </c>
      <c r="O1075" t="n">
        <v>100</v>
      </c>
      <c r="P1075" t="n">
        <v>0.02937</v>
      </c>
      <c r="Q1075" t="n">
        <v>10</v>
      </c>
      <c r="R1075" t="n">
        <v>0.02051</v>
      </c>
      <c r="S1075">
        <f>IMAGE("https://mitra.stanford.edu/kundaje/oak/projects/neuro-variants/variant_position/credible/roussos_2024/variant_figures/roussos_2024.adolescence.Astrocyte/rs338708_count_position.png",4,220,900)</f>
        <v/>
      </c>
      <c r="T1075">
        <f>IMAGE("https://mitra.stanford.edu/kundaje/oak/projects/neuro-variants/variant_position/credible/roussos_2024/variant_figures/roussos_2024.adolescence.Astrocyte/rs338708_profile_position.png",4,220,900)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-0.01538417254</v>
      </c>
      <c r="G1076" t="n">
        <v>0.6038572080708293</v>
      </c>
      <c r="H1076" t="n">
        <v>0.0206623008440679</v>
      </c>
      <c r="I1076" t="n">
        <v>0.1217043764233963</v>
      </c>
      <c r="J1076" t="n">
        <v>0.0053756342165385</v>
      </c>
      <c r="K1076" t="n">
        <v>0.7319588753448878</v>
      </c>
      <c r="L1076" t="b">
        <v>0</v>
      </c>
      <c r="M1076" t="b">
        <v>0</v>
      </c>
      <c r="N1076" t="inlineStr">
        <is>
          <t>ref</t>
        </is>
      </c>
      <c r="O1076" t="n">
        <v>100</v>
      </c>
      <c r="P1076" t="n">
        <v>0.00793</v>
      </c>
      <c r="Q1076" t="n">
        <v>-100</v>
      </c>
      <c r="R1076" t="n">
        <v>0.09014999999999999</v>
      </c>
      <c r="S1076">
        <f>IMAGE("https://mitra.stanford.edu/kundaje/oak/projects/neuro-variants/variant_position/credible/roussos_2024/variant_figures/roussos_2024.adolescence.Astrocyte/rs447791_count_position.png",4,220,900)</f>
        <v/>
      </c>
      <c r="T1076">
        <f>IMAGE("https://mitra.stanford.edu/kundaje/oak/projects/neuro-variants/variant_position/credible/roussos_2024/variant_figures/roussos_2024.adolescence.Astrocyte/rs447791_profile_position.png",4,220,900)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-0.0074798844</v>
      </c>
      <c r="G1077" t="n">
        <v>0.7713434563567539</v>
      </c>
      <c r="H1077" t="n">
        <v>0.0379793280468128</v>
      </c>
      <c r="I1077" t="n">
        <v>0.011968774661405</v>
      </c>
      <c r="J1077" t="n">
        <v>0.0020969943328486</v>
      </c>
      <c r="K1077" t="n">
        <v>0.817084813558385</v>
      </c>
      <c r="L1077" t="b">
        <v>0</v>
      </c>
      <c r="M1077" t="b">
        <v>0</v>
      </c>
      <c r="N1077" t="inlineStr">
        <is>
          <t>ref</t>
        </is>
      </c>
      <c r="O1077" t="n">
        <v>-25</v>
      </c>
      <c r="P1077" t="n">
        <v>0.001404</v>
      </c>
      <c r="Q1077" t="n">
        <v>-20</v>
      </c>
      <c r="R1077" t="n">
        <v>0.02637</v>
      </c>
      <c r="S1077">
        <f>IMAGE("https://mitra.stanford.edu/kundaje/oak/projects/neuro-variants/variant_position/credible/roussos_2024/variant_figures/roussos_2024.adolescence.Astrocyte/rs338704_count_position.png",4,220,900)</f>
        <v/>
      </c>
      <c r="T1077">
        <f>IMAGE("https://mitra.stanford.edu/kundaje/oak/projects/neuro-variants/variant_position/credible/roussos_2024/variant_figures/roussos_2024.adolescence.Astrocyte/rs338704_profile_position.png",4,220,900)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-0.1773476467999999</v>
      </c>
      <c r="G1078" t="n">
        <v>0.0246233707367965</v>
      </c>
      <c r="H1078" t="n">
        <v>0.0192682711706661</v>
      </c>
      <c r="I1078" t="n">
        <v>0.1603188925027866</v>
      </c>
      <c r="J1078" t="n">
        <v>0.3864463104174702</v>
      </c>
      <c r="K1078" t="n">
        <v>0.09243114858235479</v>
      </c>
      <c r="L1078" t="b">
        <v>0</v>
      </c>
      <c r="M1078" t="b">
        <v>0</v>
      </c>
      <c r="N1078" t="inlineStr">
        <is>
          <t>ref</t>
        </is>
      </c>
      <c r="O1078" t="n">
        <v>45</v>
      </c>
      <c r="P1078" t="n">
        <v>0.005707</v>
      </c>
      <c r="Q1078" t="n">
        <v>45</v>
      </c>
      <c r="R1078" t="n">
        <v>0.1118</v>
      </c>
      <c r="S1078">
        <f>IMAGE("https://mitra.stanford.edu/kundaje/oak/projects/neuro-variants/variant_position/credible/roussos_2024/variant_figures/roussos_2024.adolescence.Astrocyte/rs9516115_count_position.png",4,220,900)</f>
        <v/>
      </c>
      <c r="T1078">
        <f>IMAGE("https://mitra.stanford.edu/kundaje/oak/projects/neuro-variants/variant_position/credible/roussos_2024/variant_figures/roussos_2024.adolescence.Astrocyte/rs9516115_profile_position.png",4,220,900)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-0.0401068002</v>
      </c>
      <c r="G1079" t="n">
        <v>0.3129868842601997</v>
      </c>
      <c r="H1079" t="n">
        <v>0.009262463670198199</v>
      </c>
      <c r="I1079" t="n">
        <v>0.8174905346448258</v>
      </c>
      <c r="J1079" t="n">
        <v>0.0063147197578849</v>
      </c>
      <c r="K1079" t="n">
        <v>0.7145495653927529</v>
      </c>
      <c r="L1079" t="b">
        <v>0</v>
      </c>
      <c r="M1079" t="b">
        <v>0</v>
      </c>
      <c r="N1079" t="inlineStr">
        <is>
          <t>ref</t>
        </is>
      </c>
      <c r="O1079" t="n">
        <v>-55</v>
      </c>
      <c r="P1079" t="n">
        <v>0.288</v>
      </c>
      <c r="Q1079" t="n">
        <v>-70</v>
      </c>
      <c r="R1079" t="n">
        <v>0.2952</v>
      </c>
      <c r="S1079">
        <f>IMAGE("https://mitra.stanford.edu/kundaje/oak/projects/neuro-variants/variant_position/credible/roussos_2024/variant_figures/roussos_2024.adolescence.Astrocyte/rs9523786_count_position.png",4,220,900)</f>
        <v/>
      </c>
      <c r="T1079">
        <f>IMAGE("https://mitra.stanford.edu/kundaje/oak/projects/neuro-variants/variant_position/credible/roussos_2024/variant_figures/roussos_2024.adolescence.Astrocyte/rs9523786_profile_position.png",4,220,900)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-0.0531657842</v>
      </c>
      <c r="G1080" t="n">
        <v>0.228106106542838</v>
      </c>
      <c r="H1080" t="n">
        <v>0.0123851932468725</v>
      </c>
      <c r="I1080" t="n">
        <v>0.5242193454486629</v>
      </c>
      <c r="J1080" t="n">
        <v>0.0003909147553629</v>
      </c>
      <c r="K1080" t="n">
        <v>0.9424750964401832</v>
      </c>
      <c r="L1080" t="b">
        <v>0</v>
      </c>
      <c r="M1080" t="b">
        <v>0</v>
      </c>
      <c r="N1080" t="inlineStr">
        <is>
          <t>ref</t>
        </is>
      </c>
      <c r="O1080" t="n">
        <v>55</v>
      </c>
      <c r="P1080" t="n">
        <v>0.003773</v>
      </c>
      <c r="Q1080" t="n">
        <v>-95</v>
      </c>
      <c r="R1080" t="n">
        <v>0.3198</v>
      </c>
      <c r="S1080">
        <f>IMAGE("https://mitra.stanford.edu/kundaje/oak/projects/neuro-variants/variant_position/credible/roussos_2024/variant_figures/roussos_2024.adolescence.Astrocyte/rs138907830_count_position.png",4,220,900)</f>
        <v/>
      </c>
      <c r="T1080">
        <f>IMAGE("https://mitra.stanford.edu/kundaje/oak/projects/neuro-variants/variant_position/credible/roussos_2024/variant_figures/roussos_2024.adolescence.Astrocyte/rs138907830_profile_position.png",4,220,900)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0.0044703366</v>
      </c>
      <c r="G1081" t="n">
        <v>0.517588503438612</v>
      </c>
      <c r="H1081" t="n">
        <v>0.030246615039075</v>
      </c>
      <c r="I1081" t="n">
        <v>0.0308761042823644</v>
      </c>
      <c r="J1081" t="n">
        <v>0.0109033320475921</v>
      </c>
      <c r="K1081" t="n">
        <v>0.6575350066112154</v>
      </c>
      <c r="L1081" t="b">
        <v>0</v>
      </c>
      <c r="M1081" t="b">
        <v>0</v>
      </c>
      <c r="N1081" t="inlineStr">
        <is>
          <t>alt</t>
        </is>
      </c>
      <c r="O1081" t="n">
        <v>-100</v>
      </c>
      <c r="P1081" t="n">
        <v>0.01715</v>
      </c>
      <c r="Q1081" t="n">
        <v>-70</v>
      </c>
      <c r="R1081" t="n">
        <v>0.1182</v>
      </c>
      <c r="S1081">
        <f>IMAGE("https://mitra.stanford.edu/kundaje/oak/projects/neuro-variants/variant_position/credible/roussos_2024/variant_figures/roussos_2024.adolescence.Astrocyte/rs11839843_count_position.png",4,220,900)</f>
        <v/>
      </c>
      <c r="T1081">
        <f>IMAGE("https://mitra.stanford.edu/kundaje/oak/projects/neuro-variants/variant_position/credible/roussos_2024/variant_figures/roussos_2024.adolescence.Astrocyte/rs11839843_profile_position.png",4,220,900)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0.00340377022</v>
      </c>
      <c r="G1082" t="n">
        <v>0.7599957545337234</v>
      </c>
      <c r="H1082" t="n">
        <v>0.0369581165311392</v>
      </c>
      <c r="I1082" t="n">
        <v>0.0132722515271001</v>
      </c>
      <c r="J1082" t="n">
        <v>0.0060840281280597</v>
      </c>
      <c r="K1082" t="n">
        <v>0.7295606979624296</v>
      </c>
      <c r="L1082" t="b">
        <v>0</v>
      </c>
      <c r="M1082" t="b">
        <v>0</v>
      </c>
      <c r="N1082" t="inlineStr">
        <is>
          <t>alt</t>
        </is>
      </c>
      <c r="O1082" t="n">
        <v>-20</v>
      </c>
      <c r="P1082" t="n">
        <v>0.006264</v>
      </c>
      <c r="Q1082" t="n">
        <v>100</v>
      </c>
      <c r="R1082" t="n">
        <v>0.2433</v>
      </c>
      <c r="S1082">
        <f>IMAGE("https://mitra.stanford.edu/kundaje/oak/projects/neuro-variants/variant_position/credible/roussos_2024/variant_figures/roussos_2024.adolescence.Astrocyte/rs8000849_count_position.png",4,220,900)</f>
        <v/>
      </c>
      <c r="T1082">
        <f>IMAGE("https://mitra.stanford.edu/kundaje/oak/projects/neuro-variants/variant_position/credible/roussos_2024/variant_figures/roussos_2024.adolescence.Astrocyte/rs8000849_profile_position.png",4,220,900)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0.0849394302</v>
      </c>
      <c r="G1083" t="n">
        <v>0.1147600551156945</v>
      </c>
      <c r="H1083" t="n">
        <v>0.013068454974763</v>
      </c>
      <c r="I1083" t="n">
        <v>0.4487565729521469</v>
      </c>
      <c r="J1083" t="n">
        <v>0.0011074681779069</v>
      </c>
      <c r="K1083" t="n">
        <v>0.8643133304856089</v>
      </c>
      <c r="L1083" t="b">
        <v>0</v>
      </c>
      <c r="M1083" t="b">
        <v>0</v>
      </c>
      <c r="N1083" t="inlineStr">
        <is>
          <t>alt</t>
        </is>
      </c>
      <c r="O1083" t="n">
        <v>30</v>
      </c>
      <c r="P1083" t="n">
        <v>0.002686</v>
      </c>
      <c r="Q1083" t="n">
        <v>-30</v>
      </c>
      <c r="R1083" t="n">
        <v>0.03668</v>
      </c>
      <c r="S1083">
        <f>IMAGE("https://mitra.stanford.edu/kundaje/oak/projects/neuro-variants/variant_position/credible/roussos_2024/variant_figures/roussos_2024.adolescence.Astrocyte/rs4773928_count_position.png",4,220,900)</f>
        <v/>
      </c>
      <c r="T1083">
        <f>IMAGE("https://mitra.stanford.edu/kundaje/oak/projects/neuro-variants/variant_position/credible/roussos_2024/variant_figures/roussos_2024.adolescence.Astrocyte/rs4773928_profile_position.png",4,220,900)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0.354602744</v>
      </c>
      <c r="G1084" t="n">
        <v>0.0038499017890069</v>
      </c>
      <c r="H1084" t="n">
        <v>0.0250420093284174</v>
      </c>
      <c r="I1084" t="n">
        <v>0.0629376976124775</v>
      </c>
      <c r="J1084" t="n">
        <v>0.2745200723971159</v>
      </c>
      <c r="K1084" t="n">
        <v>0.1506376607123532</v>
      </c>
      <c r="L1084" t="b">
        <v>1</v>
      </c>
      <c r="M1084" t="b">
        <v>1</v>
      </c>
      <c r="N1084" t="inlineStr">
        <is>
          <t>alt</t>
        </is>
      </c>
      <c r="O1084" t="n">
        <v>-65</v>
      </c>
      <c r="P1084" t="n">
        <v>0.010574</v>
      </c>
      <c r="Q1084" t="n">
        <v>-35</v>
      </c>
      <c r="R1084" t="n">
        <v>0.06444999999999999</v>
      </c>
      <c r="S1084">
        <f>IMAGE("https://mitra.stanford.edu/kundaje/oak/projects/neuro-variants/variant_position/credible/roussos_2024/variant_figures/roussos_2024.adolescence.Astrocyte/rs6492824_count_position.png",4,220,900)</f>
        <v/>
      </c>
      <c r="T1084">
        <f>IMAGE("https://mitra.stanford.edu/kundaje/oak/projects/neuro-variants/variant_position/credible/roussos_2024/variant_figures/roussos_2024.adolescence.Astrocyte/rs6492824_profile_position.png",4,220,900)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-0.0047261382399999</v>
      </c>
      <c r="G1085" t="n">
        <v>0.6931033577342931</v>
      </c>
      <c r="H1085" t="n">
        <v>0.0088971837914355</v>
      </c>
      <c r="I1085" t="n">
        <v>0.8563175835671673</v>
      </c>
      <c r="J1085" t="n">
        <v>0.0056471234014775</v>
      </c>
      <c r="K1085" t="n">
        <v>0.7497256997612644</v>
      </c>
      <c r="L1085" t="b">
        <v>0</v>
      </c>
      <c r="M1085" t="b">
        <v>0</v>
      </c>
      <c r="N1085" t="inlineStr">
        <is>
          <t>ref</t>
        </is>
      </c>
      <c r="O1085" t="n">
        <v>90</v>
      </c>
      <c r="P1085" t="n">
        <v>0.002739</v>
      </c>
      <c r="Q1085" t="n">
        <v>5</v>
      </c>
      <c r="R1085" t="n">
        <v>0.001953</v>
      </c>
      <c r="S1085">
        <f>IMAGE("https://mitra.stanford.edu/kundaje/oak/projects/neuro-variants/variant_position/credible/roussos_2024/variant_figures/roussos_2024.adolescence.Astrocyte/rs9561967_count_position.png",4,220,900)</f>
        <v/>
      </c>
      <c r="T1085">
        <f>IMAGE("https://mitra.stanford.edu/kundaje/oak/projects/neuro-variants/variant_position/credible/roussos_2024/variant_figures/roussos_2024.adolescence.Astrocyte/rs9561967_profile_position.png",4,220,900)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0.0057250112079999</v>
      </c>
      <c r="G1086" t="n">
        <v>0.8094857529595362</v>
      </c>
      <c r="H1086" t="n">
        <v>0.0171234123680319</v>
      </c>
      <c r="I1086" t="n">
        <v>0.2228184753600316</v>
      </c>
      <c r="J1086" t="n">
        <v>0.009041479986944699</v>
      </c>
      <c r="K1086" t="n">
        <v>0.6864350165203035</v>
      </c>
      <c r="L1086" t="b">
        <v>0</v>
      </c>
      <c r="M1086" t="b">
        <v>0</v>
      </c>
      <c r="N1086" t="inlineStr">
        <is>
          <t>alt</t>
        </is>
      </c>
      <c r="O1086" t="n">
        <v>-85</v>
      </c>
      <c r="P1086" t="n">
        <v>0.01595</v>
      </c>
      <c r="Q1086" t="n">
        <v>70</v>
      </c>
      <c r="R1086" t="n">
        <v>0.11017</v>
      </c>
      <c r="S1086">
        <f>IMAGE("https://mitra.stanford.edu/kundaje/oak/projects/neuro-variants/variant_position/credible/roussos_2024/variant_figures/roussos_2024.adolescence.Astrocyte/rs11616658_count_position.png",4,220,900)</f>
        <v/>
      </c>
      <c r="T1086">
        <f>IMAGE("https://mitra.stanford.edu/kundaje/oak/projects/neuro-variants/variant_position/credible/roussos_2024/variant_figures/roussos_2024.adolescence.Astrocyte/rs11616658_profile_position.png",4,220,900)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-0.0026480324</v>
      </c>
      <c r="G1087" t="n">
        <v>0.6074478287304743</v>
      </c>
      <c r="H1087" t="n">
        <v>0.0110927221252757</v>
      </c>
      <c r="I1087" t="n">
        <v>0.626799512834862</v>
      </c>
      <c r="J1087" t="n">
        <v>0.0301078539002462</v>
      </c>
      <c r="K1087" t="n">
        <v>0.514729163980046</v>
      </c>
      <c r="L1087" t="b">
        <v>0</v>
      </c>
      <c r="M1087" t="b">
        <v>0</v>
      </c>
      <c r="N1087" t="inlineStr">
        <is>
          <t>ref</t>
        </is>
      </c>
      <c r="O1087" t="n">
        <v>55</v>
      </c>
      <c r="P1087" t="n">
        <v>0.004196</v>
      </c>
      <c r="Q1087" t="n">
        <v>-100</v>
      </c>
      <c r="R1087" t="n">
        <v>0.05954</v>
      </c>
      <c r="S1087">
        <f>IMAGE("https://mitra.stanford.edu/kundaje/oak/projects/neuro-variants/variant_position/credible/roussos_2024/variant_figures/roussos_2024.adolescence.Astrocyte/rs9556505_count_position.png",4,220,900)</f>
        <v/>
      </c>
      <c r="T1087">
        <f>IMAGE("https://mitra.stanford.edu/kundaje/oak/projects/neuro-variants/variant_position/credible/roussos_2024/variant_figures/roussos_2024.adolescence.Astrocyte/rs9556505_profile_position.png",4,220,900)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0.0181614329</v>
      </c>
      <c r="G1088" t="n">
        <v>0.5551952454292571</v>
      </c>
      <c r="H1088" t="n">
        <v>0.0118210782585751</v>
      </c>
      <c r="I1088" t="n">
        <v>0.5750728789559876</v>
      </c>
      <c r="J1088" t="n">
        <v>0.002764590689256</v>
      </c>
      <c r="K1088" t="n">
        <v>0.7951641525163234</v>
      </c>
      <c r="L1088" t="b">
        <v>0</v>
      </c>
      <c r="M1088" t="b">
        <v>0</v>
      </c>
      <c r="N1088" t="inlineStr">
        <is>
          <t>alt</t>
        </is>
      </c>
      <c r="O1088" t="n">
        <v>55</v>
      </c>
      <c r="P1088" t="n">
        <v>0.05588</v>
      </c>
      <c r="Q1088" t="n">
        <v>50</v>
      </c>
      <c r="R1088" t="n">
        <v>0.0654</v>
      </c>
      <c r="S1088">
        <f>IMAGE("https://mitra.stanford.edu/kundaje/oak/projects/neuro-variants/variant_position/credible/roussos_2024/variant_figures/roussos_2024.adolescence.Astrocyte/rs1537030_count_position.png",4,220,900)</f>
        <v/>
      </c>
      <c r="T1088">
        <f>IMAGE("https://mitra.stanford.edu/kundaje/oak/projects/neuro-variants/variant_position/credible/roussos_2024/variant_figures/roussos_2024.adolescence.Astrocyte/rs1537030_profile_position.png",4,220,900)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-0.01210848832</v>
      </c>
      <c r="G1089" t="n">
        <v>0.7102637870967443</v>
      </c>
      <c r="H1089" t="n">
        <v>0.02783503740037</v>
      </c>
      <c r="I1089" t="n">
        <v>0.0419466766887963</v>
      </c>
      <c r="J1089" t="n">
        <v>0.0034069667388659</v>
      </c>
      <c r="K1089" t="n">
        <v>0.7758283593817846</v>
      </c>
      <c r="L1089" t="b">
        <v>0</v>
      </c>
      <c r="M1089" t="b">
        <v>0</v>
      </c>
      <c r="N1089" t="inlineStr">
        <is>
          <t>ref</t>
        </is>
      </c>
      <c r="O1089" t="n">
        <v>35</v>
      </c>
      <c r="P1089" t="n">
        <v>0.00267</v>
      </c>
      <c r="Q1089" t="n">
        <v>85</v>
      </c>
      <c r="R1089" t="n">
        <v>0.0984</v>
      </c>
      <c r="S1089">
        <f>IMAGE("https://mitra.stanford.edu/kundaje/oak/projects/neuro-variants/variant_position/credible/roussos_2024/variant_figures/roussos_2024.adolescence.Astrocyte/rs35836619_count_position.png",4,220,900)</f>
        <v/>
      </c>
      <c r="T1089">
        <f>IMAGE("https://mitra.stanford.edu/kundaje/oak/projects/neuro-variants/variant_position/credible/roussos_2024/variant_figures/roussos_2024.adolescence.Astrocyte/rs35836619_profile_position.png",4,220,900)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0.00730537208</v>
      </c>
      <c r="G1090" t="n">
        <v>0.8033719937714677</v>
      </c>
      <c r="H1090" t="n">
        <v>0.0126600649232426</v>
      </c>
      <c r="I1090" t="n">
        <v>0.4933324930086427</v>
      </c>
      <c r="J1090" t="n">
        <v>0.1768841052725276</v>
      </c>
      <c r="K1090" t="n">
        <v>0.2306205818063649</v>
      </c>
      <c r="L1090" t="b">
        <v>0</v>
      </c>
      <c r="M1090" t="b">
        <v>0</v>
      </c>
      <c r="N1090" t="inlineStr">
        <is>
          <t>alt</t>
        </is>
      </c>
      <c r="O1090" t="n">
        <v>-100</v>
      </c>
      <c r="P1090" t="n">
        <v>0.03778</v>
      </c>
      <c r="Q1090" t="n">
        <v>-100</v>
      </c>
      <c r="R1090" t="n">
        <v>0.01953</v>
      </c>
      <c r="S1090">
        <f>IMAGE("https://mitra.stanford.edu/kundaje/oak/projects/neuro-variants/variant_position/credible/roussos_2024/variant_figures/roussos_2024.adolescence.Astrocyte/rs9556506_count_position.png",4,220,900)</f>
        <v/>
      </c>
      <c r="T1090">
        <f>IMAGE("https://mitra.stanford.edu/kundaje/oak/projects/neuro-variants/variant_position/credible/roussos_2024/variant_figures/roussos_2024.adolescence.Astrocyte/rs9556506_profile_position.png",4,220,900)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0.08343605</v>
      </c>
      <c r="G1091" t="n">
        <v>0.119118559503751</v>
      </c>
      <c r="H1091" t="n">
        <v>0.0246346415556442</v>
      </c>
      <c r="I1091" t="n">
        <v>0.0692838961340964</v>
      </c>
      <c r="J1091" t="n">
        <v>0.1802391478503397</v>
      </c>
      <c r="K1091" t="n">
        <v>0.2275083170449828</v>
      </c>
      <c r="L1091" t="b">
        <v>0</v>
      </c>
      <c r="M1091" t="b">
        <v>0</v>
      </c>
      <c r="N1091" t="inlineStr">
        <is>
          <t>alt</t>
        </is>
      </c>
      <c r="O1091" t="n">
        <v>-25</v>
      </c>
      <c r="P1091" t="n">
        <v>0.002655</v>
      </c>
      <c r="Q1091" t="n">
        <v>-25</v>
      </c>
      <c r="R1091" t="n">
        <v>0.0674</v>
      </c>
      <c r="S1091">
        <f>IMAGE("https://mitra.stanford.edu/kundaje/oak/projects/neuro-variants/variant_position/credible/roussos_2024/variant_figures/roussos_2024.adolescence.Astrocyte/rs9556508_count_position.png",4,220,900)</f>
        <v/>
      </c>
      <c r="T1091">
        <f>IMAGE("https://mitra.stanford.edu/kundaje/oak/projects/neuro-variants/variant_position/credible/roussos_2024/variant_figures/roussos_2024.adolescence.Astrocyte/rs9556508_profile_position.png",4,220,900)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0.0314688652</v>
      </c>
      <c r="G1092" t="n">
        <v>0.3851581075630854</v>
      </c>
      <c r="H1092" t="n">
        <v>0.0381588862218474</v>
      </c>
      <c r="I1092" t="n">
        <v>0.0116121574907027</v>
      </c>
      <c r="J1092" t="n">
        <v>0.0020495208141707</v>
      </c>
      <c r="K1092" t="n">
        <v>0.8255736390024443</v>
      </c>
      <c r="L1092" t="b">
        <v>0</v>
      </c>
      <c r="M1092" t="b">
        <v>0</v>
      </c>
      <c r="N1092" t="inlineStr">
        <is>
          <t>alt</t>
        </is>
      </c>
      <c r="O1092" t="n">
        <v>-80</v>
      </c>
      <c r="P1092" t="n">
        <v>0.01103</v>
      </c>
      <c r="Q1092" t="n">
        <v>-90</v>
      </c>
      <c r="R1092" t="n">
        <v>0.14</v>
      </c>
      <c r="S1092">
        <f>IMAGE("https://mitra.stanford.edu/kundaje/oak/projects/neuro-variants/variant_position/credible/roussos_2024/variant_figures/roussos_2024.adolescence.Astrocyte/rs1411557_count_position.png",4,220,900)</f>
        <v/>
      </c>
      <c r="T1092">
        <f>IMAGE("https://mitra.stanford.edu/kundaje/oak/projects/neuro-variants/variant_position/credible/roussos_2024/variant_figures/roussos_2024.adolescence.Astrocyte/rs1411557_profile_position.png",4,220,900)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0.022740437</v>
      </c>
      <c r="G1093" t="n">
        <v>0.495577879344639</v>
      </c>
      <c r="H1093" t="n">
        <v>0.0258499120702129</v>
      </c>
      <c r="I1093" t="n">
        <v>0.0555803040916393</v>
      </c>
      <c r="J1093" t="n">
        <v>0.000217339702697</v>
      </c>
      <c r="K1093" t="n">
        <v>0.9530389429709012</v>
      </c>
      <c r="L1093" t="b">
        <v>0</v>
      </c>
      <c r="M1093" t="b">
        <v>0</v>
      </c>
      <c r="N1093" t="inlineStr">
        <is>
          <t>alt</t>
        </is>
      </c>
      <c r="O1093" t="n">
        <v>85</v>
      </c>
      <c r="P1093" t="n">
        <v>0.008500000000000001</v>
      </c>
      <c r="Q1093" t="n">
        <v>-80</v>
      </c>
      <c r="R1093" t="n">
        <v>0.09669999999999999</v>
      </c>
      <c r="S1093">
        <f>IMAGE("https://mitra.stanford.edu/kundaje/oak/projects/neuro-variants/variant_position/credible/roussos_2024/variant_figures/roussos_2024.adolescence.Astrocyte/rs11619333_count_position.png",4,220,900)</f>
        <v/>
      </c>
      <c r="T1093">
        <f>IMAGE("https://mitra.stanford.edu/kundaje/oak/projects/neuro-variants/variant_position/credible/roussos_2024/variant_figures/roussos_2024.adolescence.Astrocyte/rs11619333_profile_position.png",4,220,900)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0.0141602872</v>
      </c>
      <c r="G1094" t="n">
        <v>0.6196196801591642</v>
      </c>
      <c r="H1094" t="n">
        <v>0.0098355041478334</v>
      </c>
      <c r="I1094" t="n">
        <v>0.7761398680629155</v>
      </c>
      <c r="J1094" t="n">
        <v>0.0020465537192534</v>
      </c>
      <c r="K1094" t="n">
        <v>0.8376781124903002</v>
      </c>
      <c r="L1094" t="b">
        <v>0</v>
      </c>
      <c r="M1094" t="b">
        <v>0</v>
      </c>
      <c r="N1094" t="inlineStr">
        <is>
          <t>alt</t>
        </is>
      </c>
      <c r="O1094" t="n">
        <v>60</v>
      </c>
      <c r="P1094" t="n">
        <v>0.006416</v>
      </c>
      <c r="Q1094" t="n">
        <v>-35</v>
      </c>
      <c r="R1094" t="n">
        <v>0.01099</v>
      </c>
      <c r="S1094">
        <f>IMAGE("https://mitra.stanford.edu/kundaje/oak/projects/neuro-variants/variant_position/credible/roussos_2024/variant_figures/roussos_2024.adolescence.Astrocyte/rs7324957_count_position.png",4,220,900)</f>
        <v/>
      </c>
      <c r="T1094">
        <f>IMAGE("https://mitra.stanford.edu/kundaje/oak/projects/neuro-variants/variant_position/credible/roussos_2024/variant_figures/roussos_2024.adolescence.Astrocyte/rs7324957_profile_position.png",4,220,900)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-0.2228421828</v>
      </c>
      <c r="G1095" t="n">
        <v>0.016772976399836</v>
      </c>
      <c r="H1095" t="n">
        <v>0.0269125737923077</v>
      </c>
      <c r="I1095" t="n">
        <v>0.049706540996913</v>
      </c>
      <c r="J1095" t="n">
        <v>0.036011631012076</v>
      </c>
      <c r="K1095" t="n">
        <v>0.4872542486086111</v>
      </c>
      <c r="L1095" t="b">
        <v>1</v>
      </c>
      <c r="M1095" t="b">
        <v>0</v>
      </c>
      <c r="N1095" t="inlineStr">
        <is>
          <t>ref</t>
        </is>
      </c>
      <c r="O1095" t="n">
        <v>5</v>
      </c>
      <c r="P1095" t="n">
        <v>0.00702</v>
      </c>
      <c r="Q1095" t="n">
        <v>-5</v>
      </c>
      <c r="R1095" t="n">
        <v>0.003418</v>
      </c>
      <c r="S1095">
        <f>IMAGE("https://mitra.stanford.edu/kundaje/oak/projects/neuro-variants/variant_position/credible/roussos_2024/variant_figures/roussos_2024.adolescence.Astrocyte/rs9562005_count_position.png",4,220,900)</f>
        <v/>
      </c>
      <c r="T1095">
        <f>IMAGE("https://mitra.stanford.edu/kundaje/oak/projects/neuro-variants/variant_position/credible/roussos_2024/variant_figures/roussos_2024.adolescence.Astrocyte/rs9562005_profile_position.png",4,220,900)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0.110009096</v>
      </c>
      <c r="G1096" t="n">
        <v>0.0744672715388698</v>
      </c>
      <c r="H1096" t="n">
        <v>0.0261925694755932</v>
      </c>
      <c r="I1096" t="n">
        <v>0.0533951508550927</v>
      </c>
      <c r="J1096" t="n">
        <v>0.0021073791650594</v>
      </c>
      <c r="K1096" t="n">
        <v>0.8208254577392181</v>
      </c>
      <c r="L1096" t="b">
        <v>0</v>
      </c>
      <c r="M1096" t="b">
        <v>0</v>
      </c>
      <c r="N1096" t="inlineStr">
        <is>
          <t>alt</t>
        </is>
      </c>
      <c r="O1096" t="n">
        <v>-25</v>
      </c>
      <c r="P1096" t="n">
        <v>0.0003052</v>
      </c>
      <c r="Q1096" t="n">
        <v>100</v>
      </c>
      <c r="R1096" t="n">
        <v>0.09064</v>
      </c>
      <c r="S1096">
        <f>IMAGE("https://mitra.stanford.edu/kundaje/oak/projects/neuro-variants/variant_position/credible/roussos_2024/variant_figures/roussos_2024.adolescence.Astrocyte/rs117227967_count_position.png",4,220,900)</f>
        <v/>
      </c>
      <c r="T1096">
        <f>IMAGE("https://mitra.stanford.edu/kundaje/oak/projects/neuro-variants/variant_position/credible/roussos_2024/variant_figures/roussos_2024.adolescence.Astrocyte/rs117227967_profile_position.png",4,220,900)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0.0302893272</v>
      </c>
      <c r="G1097" t="n">
        <v>0.4004920444569435</v>
      </c>
      <c r="H1097" t="n">
        <v>0.0102724658885023</v>
      </c>
      <c r="I1097" t="n">
        <v>0.7291096667365918</v>
      </c>
      <c r="J1097" t="n">
        <v>0.0513982434798088</v>
      </c>
      <c r="K1097" t="n">
        <v>0.4368588306537561</v>
      </c>
      <c r="L1097" t="b">
        <v>0</v>
      </c>
      <c r="M1097" t="b">
        <v>0</v>
      </c>
      <c r="N1097" t="inlineStr">
        <is>
          <t>alt</t>
        </is>
      </c>
      <c r="O1097" t="n">
        <v>60</v>
      </c>
      <c r="P1097" t="n">
        <v>0.02237</v>
      </c>
      <c r="Q1097" t="n">
        <v>-100</v>
      </c>
      <c r="R1097" t="n">
        <v>0.1167</v>
      </c>
      <c r="S1097">
        <f>IMAGE("https://mitra.stanford.edu/kundaje/oak/projects/neuro-variants/variant_position/credible/roussos_2024/variant_figures/roussos_2024.adolescence.Astrocyte/rs2026819_count_position.png",4,220,900)</f>
        <v/>
      </c>
      <c r="T1097">
        <f>IMAGE("https://mitra.stanford.edu/kundaje/oak/projects/neuro-variants/variant_position/credible/roussos_2024/variant_figures/roussos_2024.adolescence.Astrocyte/rs2026819_profile_position.png",4,220,900)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0.0311400707999999</v>
      </c>
      <c r="G1098" t="n">
        <v>0.384039460329511</v>
      </c>
      <c r="H1098" t="n">
        <v>0.046807315066167</v>
      </c>
      <c r="I1098" t="n">
        <v>0.0050667593707146</v>
      </c>
      <c r="J1098" t="n">
        <v>0.0080571462481084</v>
      </c>
      <c r="K1098" t="n">
        <v>0.6876954066533505</v>
      </c>
      <c r="L1098" t="b">
        <v>0</v>
      </c>
      <c r="M1098" t="b">
        <v>0</v>
      </c>
      <c r="N1098" t="inlineStr">
        <is>
          <t>alt</t>
        </is>
      </c>
      <c r="O1098" t="n">
        <v>-80</v>
      </c>
      <c r="P1098" t="n">
        <v>0.0241</v>
      </c>
      <c r="Q1098" t="n">
        <v>-85</v>
      </c>
      <c r="R1098" t="n">
        <v>0.11475</v>
      </c>
      <c r="S1098">
        <f>IMAGE("https://mitra.stanford.edu/kundaje/oak/projects/neuro-variants/variant_position/credible/roussos_2024/variant_figures/roussos_2024.adolescence.Astrocyte/rs3782990_count_position.png",4,220,900)</f>
        <v/>
      </c>
      <c r="T1098">
        <f>IMAGE("https://mitra.stanford.edu/kundaje/oak/projects/neuro-variants/variant_position/credible/roussos_2024/variant_figures/roussos_2024.adolescence.Astrocyte/rs3782990_profile_position.png",4,220,900)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0.0177951306</v>
      </c>
      <c r="G1099" t="n">
        <v>0.3482525549829015</v>
      </c>
      <c r="H1099" t="n">
        <v>0.0414133673300986</v>
      </c>
      <c r="I1099" t="n">
        <v>0.008775088848458099</v>
      </c>
      <c r="J1099" t="n">
        <v>0.9617482123253124</v>
      </c>
      <c r="K1099" t="n">
        <v>8.766951344820181e-05</v>
      </c>
      <c r="L1099" t="b">
        <v>1</v>
      </c>
      <c r="M1099" t="b">
        <v>1</v>
      </c>
      <c r="N1099" t="inlineStr">
        <is>
          <t>alt</t>
        </is>
      </c>
      <c r="O1099" t="n">
        <v>-25</v>
      </c>
      <c r="P1099" t="n">
        <v>0.0083</v>
      </c>
      <c r="Q1099" t="n">
        <v>-45</v>
      </c>
      <c r="R1099" t="n">
        <v>0.01465</v>
      </c>
      <c r="S1099">
        <f>IMAGE("https://mitra.stanford.edu/kundaje/oak/projects/neuro-variants/variant_position/credible/roussos_2024/variant_figures/roussos_2024.adolescence.Astrocyte/rs2277419_count_position.png",4,220,900)</f>
        <v/>
      </c>
      <c r="T1099">
        <f>IMAGE("https://mitra.stanford.edu/kundaje/oak/projects/neuro-variants/variant_position/credible/roussos_2024/variant_figures/roussos_2024.adolescence.Astrocyte/rs2277419_profile_position.png",4,220,900)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-0.0032843967</v>
      </c>
      <c r="G1100" t="n">
        <v>0.6138813812199549</v>
      </c>
      <c r="H1100" t="n">
        <v>0.0149406756557614</v>
      </c>
      <c r="I1100" t="n">
        <v>0.3269793422730307</v>
      </c>
      <c r="J1100" t="n">
        <v>0.0032912500370886</v>
      </c>
      <c r="K1100" t="n">
        <v>0.7819329015375416</v>
      </c>
      <c r="L1100" t="b">
        <v>0</v>
      </c>
      <c r="M1100" t="b">
        <v>0</v>
      </c>
      <c r="N1100" t="inlineStr">
        <is>
          <t>ref</t>
        </is>
      </c>
      <c r="O1100" t="n">
        <v>-100</v>
      </c>
      <c r="P1100" t="n">
        <v>0.0006980000000000001</v>
      </c>
      <c r="Q1100" t="n">
        <v>35</v>
      </c>
      <c r="R1100" t="n">
        <v>0.08019999999999999</v>
      </c>
      <c r="S1100">
        <f>IMAGE("https://mitra.stanford.edu/kundaje/oak/projects/neuro-variants/variant_position/credible/roussos_2024/variant_figures/roussos_2024.adolescence.Astrocyte/rs1854173_count_position.png",4,220,900)</f>
        <v/>
      </c>
      <c r="T1100">
        <f>IMAGE("https://mitra.stanford.edu/kundaje/oak/projects/neuro-variants/variant_position/credible/roussos_2024/variant_figures/roussos_2024.adolescence.Astrocyte/rs1854173_profile_position.png",4,220,900)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0.06336359259999989</v>
      </c>
      <c r="G1101" t="n">
        <v>0.1320632175962118</v>
      </c>
      <c r="H1101" t="n">
        <v>0.0166477580759831</v>
      </c>
      <c r="I1101" t="n">
        <v>0.2479035034218023</v>
      </c>
      <c r="J1101" t="n">
        <v>0.5784069667388659</v>
      </c>
      <c r="K1101" t="n">
        <v>0.0383137803669255</v>
      </c>
      <c r="L1101" t="b">
        <v>0</v>
      </c>
      <c r="M1101" t="b">
        <v>0</v>
      </c>
      <c r="N1101" t="inlineStr">
        <is>
          <t>alt</t>
        </is>
      </c>
      <c r="O1101" t="n">
        <v>-85</v>
      </c>
      <c r="P1101" t="n">
        <v>0.013695</v>
      </c>
      <c r="Q1101" t="n">
        <v>65</v>
      </c>
      <c r="R1101" t="n">
        <v>0.07935</v>
      </c>
      <c r="S1101">
        <f>IMAGE("https://mitra.stanford.edu/kundaje/oak/projects/neuro-variants/variant_position/credible/roussos_2024/variant_figures/roussos_2024.adolescence.Astrocyte/rs11618108_count_position.png",4,220,900)</f>
        <v/>
      </c>
      <c r="T1101">
        <f>IMAGE("https://mitra.stanford.edu/kundaje/oak/projects/neuro-variants/variant_position/credible/roussos_2024/variant_figures/roussos_2024.adolescence.Astrocyte/rs11618108_profile_position.png",4,220,900)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-0.0369877258</v>
      </c>
      <c r="G1102" t="n">
        <v>0.3362255764775138</v>
      </c>
      <c r="H1102" t="n">
        <v>0.0606090551472924</v>
      </c>
      <c r="I1102" t="n">
        <v>0.0019371666900326</v>
      </c>
      <c r="J1102" t="n">
        <v>0.0815009049639497</v>
      </c>
      <c r="K1102" t="n">
        <v>0.3544257196702639</v>
      </c>
      <c r="L1102" t="b">
        <v>1</v>
      </c>
      <c r="M1102" t="b">
        <v>1</v>
      </c>
      <c r="N1102" t="inlineStr">
        <is>
          <t>ref</t>
        </is>
      </c>
      <c r="O1102" t="n">
        <v>100</v>
      </c>
      <c r="P1102" t="n">
        <v>0.02203</v>
      </c>
      <c r="Q1102" t="n">
        <v>100</v>
      </c>
      <c r="R1102" t="n">
        <v>0.154</v>
      </c>
      <c r="S1102">
        <f>IMAGE("https://mitra.stanford.edu/kundaje/oak/projects/neuro-variants/variant_position/credible/roussos_2024/variant_figures/roussos_2024.adolescence.Astrocyte/rs200086486_count_position.png",4,220,900)</f>
        <v/>
      </c>
      <c r="T1102">
        <f>IMAGE("https://mitra.stanford.edu/kundaje/oak/projects/neuro-variants/variant_position/credible/roussos_2024/variant_figures/roussos_2024.adolescence.Astrocyte/rs200086486_profile_position.png",4,220,900)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0.160862072</v>
      </c>
      <c r="G1103" t="n">
        <v>0.0304841741581355</v>
      </c>
      <c r="H1103" t="n">
        <v>0.0201584283904261</v>
      </c>
      <c r="I1103" t="n">
        <v>0.1340157491858858</v>
      </c>
      <c r="J1103" t="n">
        <v>0.0048890306500904</v>
      </c>
      <c r="K1103" t="n">
        <v>0.752132618690986</v>
      </c>
      <c r="L1103" t="b">
        <v>0</v>
      </c>
      <c r="M1103" t="b">
        <v>0</v>
      </c>
      <c r="N1103" t="inlineStr">
        <is>
          <t>alt</t>
        </is>
      </c>
      <c r="O1103" t="n">
        <v>80</v>
      </c>
      <c r="P1103" t="n">
        <v>0.01318</v>
      </c>
      <c r="Q1103" t="n">
        <v>-30</v>
      </c>
      <c r="R1103" t="n">
        <v>0.06555</v>
      </c>
      <c r="S1103">
        <f>IMAGE("https://mitra.stanford.edu/kundaje/oak/projects/neuro-variants/variant_position/credible/roussos_2024/variant_figures/roussos_2024.adolescence.Astrocyte/rs493423_count_position.png",4,220,900)</f>
        <v/>
      </c>
      <c r="T1103">
        <f>IMAGE("https://mitra.stanford.edu/kundaje/oak/projects/neuro-variants/variant_position/credible/roussos_2024/variant_figures/roussos_2024.adolescence.Astrocyte/rs493423_profile_position.png",4,220,900)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0.17968609</v>
      </c>
      <c r="G1104" t="n">
        <v>0.022994931520235</v>
      </c>
      <c r="H1104" t="n">
        <v>0.0204792595636278</v>
      </c>
      <c r="I1104" t="n">
        <v>0.1299438790920211</v>
      </c>
      <c r="J1104" t="n">
        <v>0.0182454084206153</v>
      </c>
      <c r="K1104" t="n">
        <v>0.5904183908091473</v>
      </c>
      <c r="L1104" t="b">
        <v>0</v>
      </c>
      <c r="M1104" t="b">
        <v>0</v>
      </c>
      <c r="N1104" t="inlineStr">
        <is>
          <t>alt</t>
        </is>
      </c>
      <c r="O1104" t="n">
        <v>-95</v>
      </c>
      <c r="P1104" t="n">
        <v>0.002075</v>
      </c>
      <c r="Q1104" t="n">
        <v>5</v>
      </c>
      <c r="R1104" t="n">
        <v>0.00659</v>
      </c>
      <c r="S1104">
        <f>IMAGE("https://mitra.stanford.edu/kundaje/oak/projects/neuro-variants/variant_position/credible/roussos_2024/variant_figures/roussos_2024.adolescence.Astrocyte/rs504340_count_position.png",4,220,900)</f>
        <v/>
      </c>
      <c r="T1104">
        <f>IMAGE("https://mitra.stanford.edu/kundaje/oak/projects/neuro-variants/variant_position/credible/roussos_2024/variant_figures/roussos_2024.adolescence.Astrocyte/rs504340_profile_position.png",4,220,900)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-0.01361750822</v>
      </c>
      <c r="G1105" t="n">
        <v>0.6595365294238629</v>
      </c>
      <c r="H1105" t="n">
        <v>0.0262380977794022</v>
      </c>
      <c r="I1105" t="n">
        <v>0.0525956911958857</v>
      </c>
      <c r="J1105" t="n">
        <v>0.0281414117437616</v>
      </c>
      <c r="K1105" t="n">
        <v>0.5193071996181987</v>
      </c>
      <c r="L1105" t="b">
        <v>0</v>
      </c>
      <c r="M1105" t="b">
        <v>0</v>
      </c>
      <c r="N1105" t="inlineStr">
        <is>
          <t>ref</t>
        </is>
      </c>
      <c r="O1105" t="n">
        <v>-55</v>
      </c>
      <c r="P1105" t="n">
        <v>0.01172</v>
      </c>
      <c r="Q1105" t="n">
        <v>30</v>
      </c>
      <c r="R1105" t="n">
        <v>0.04565</v>
      </c>
      <c r="S1105">
        <f>IMAGE("https://mitra.stanford.edu/kundaje/oak/projects/neuro-variants/variant_position/credible/roussos_2024/variant_figures/roussos_2024.adolescence.Astrocyte/rs1117183_count_position.png",4,220,900)</f>
        <v/>
      </c>
      <c r="T1105">
        <f>IMAGE("https://mitra.stanford.edu/kundaje/oak/projects/neuro-variants/variant_position/credible/roussos_2024/variant_figures/roussos_2024.adolescence.Astrocyte/rs1117183_profile_position.png",4,220,900)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0.0146877840999999</v>
      </c>
      <c r="G1106" t="n">
        <v>0.6535204529496137</v>
      </c>
      <c r="H1106" t="n">
        <v>0.0494014319124891</v>
      </c>
      <c r="I1106" t="n">
        <v>0.0040538870154757</v>
      </c>
      <c r="J1106" t="n">
        <v>0.3399689938581135</v>
      </c>
      <c r="K1106" t="n">
        <v>0.1130116748870473</v>
      </c>
      <c r="L1106" t="b">
        <v>1</v>
      </c>
      <c r="M1106" t="b">
        <v>1</v>
      </c>
      <c r="N1106" t="inlineStr">
        <is>
          <t>alt</t>
        </is>
      </c>
      <c r="O1106" t="n">
        <v>-100</v>
      </c>
      <c r="P1106" t="n">
        <v>0.05273</v>
      </c>
      <c r="Q1106" t="n">
        <v>-100</v>
      </c>
      <c r="R1106" t="n">
        <v>0.3315</v>
      </c>
      <c r="S1106">
        <f>IMAGE("https://mitra.stanford.edu/kundaje/oak/projects/neuro-variants/variant_position/credible/roussos_2024/variant_figures/roussos_2024.adolescence.Astrocyte/rs640357_count_position.png",4,220,900)</f>
        <v/>
      </c>
      <c r="T1106">
        <f>IMAGE("https://mitra.stanford.edu/kundaje/oak/projects/neuro-variants/variant_position/credible/roussos_2024/variant_figures/roussos_2024.adolescence.Astrocyte/rs640357_profile_position.png",4,220,900)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0.097078737</v>
      </c>
      <c r="G1107" t="n">
        <v>0.0810101140763745</v>
      </c>
      <c r="H1107" t="n">
        <v>0.012611609858549</v>
      </c>
      <c r="I1107" t="n">
        <v>0.4953596076223843</v>
      </c>
      <c r="J1107" t="n">
        <v>0.0122437171765124</v>
      </c>
      <c r="K1107" t="n">
        <v>0.64802700951953</v>
      </c>
      <c r="L1107" t="b">
        <v>0</v>
      </c>
      <c r="M1107" t="b">
        <v>0</v>
      </c>
      <c r="N1107" t="inlineStr">
        <is>
          <t>alt</t>
        </is>
      </c>
      <c r="O1107" t="n">
        <v>100</v>
      </c>
      <c r="P1107" t="n">
        <v>0.06270000000000001</v>
      </c>
      <c r="Q1107" t="n">
        <v>-15</v>
      </c>
      <c r="R1107" t="n">
        <v>0.05585</v>
      </c>
      <c r="S1107">
        <f>IMAGE("https://mitra.stanford.edu/kundaje/oak/projects/neuro-variants/variant_position/credible/roussos_2024/variant_figures/roussos_2024.adolescence.Astrocyte/rs16951630_count_position.png",4,220,900)</f>
        <v/>
      </c>
      <c r="T1107">
        <f>IMAGE("https://mitra.stanford.edu/kundaje/oak/projects/neuro-variants/variant_position/credible/roussos_2024/variant_figures/roussos_2024.adolescence.Astrocyte/rs16951630_profile_position.png",4,220,900)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-0.0494978548</v>
      </c>
      <c r="G1108" t="n">
        <v>0.2487076063520109</v>
      </c>
      <c r="H1108" t="n">
        <v>0.0089083393014689</v>
      </c>
      <c r="I1108" t="n">
        <v>0.8455126786954265</v>
      </c>
      <c r="J1108" t="n">
        <v>8.08533364982329e-05</v>
      </c>
      <c r="K1108" t="n">
        <v>0.9863419900471976</v>
      </c>
      <c r="L1108" t="b">
        <v>0</v>
      </c>
      <c r="M1108" t="b">
        <v>0</v>
      </c>
      <c r="N1108" t="inlineStr">
        <is>
          <t>ref</t>
        </is>
      </c>
      <c r="O1108" t="n">
        <v>85</v>
      </c>
      <c r="P1108" t="n">
        <v>0.007233</v>
      </c>
      <c r="Q1108" t="n">
        <v>75</v>
      </c>
      <c r="R1108" t="n">
        <v>0.04932</v>
      </c>
      <c r="S1108">
        <f>IMAGE("https://mitra.stanford.edu/kundaje/oak/projects/neuro-variants/variant_position/credible/roussos_2024/variant_figures/roussos_2024.adolescence.Astrocyte/rs9590371_count_position.png",4,220,900)</f>
        <v/>
      </c>
      <c r="T1108">
        <f>IMAGE("https://mitra.stanford.edu/kundaje/oak/projects/neuro-variants/variant_position/credible/roussos_2024/variant_figures/roussos_2024.adolescence.Astrocyte/rs9590371_profile_position.png",4,220,900)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-0.0183928362</v>
      </c>
      <c r="G1109" t="n">
        <v>0.4833300662089136</v>
      </c>
      <c r="H1109" t="n">
        <v>0.0143714951535707</v>
      </c>
      <c r="I1109" t="n">
        <v>0.36342809294987</v>
      </c>
      <c r="J1109" t="n">
        <v>0.0125463608580837</v>
      </c>
      <c r="K1109" t="n">
        <v>0.6339923975576766</v>
      </c>
      <c r="L1109" t="b">
        <v>0</v>
      </c>
      <c r="M1109" t="b">
        <v>0</v>
      </c>
      <c r="N1109" t="inlineStr">
        <is>
          <t>ref</t>
        </is>
      </c>
      <c r="O1109" t="n">
        <v>-90</v>
      </c>
      <c r="P1109" t="n">
        <v>0.01994</v>
      </c>
      <c r="Q1109" t="n">
        <v>-90</v>
      </c>
      <c r="R1109" t="n">
        <v>0.02881</v>
      </c>
      <c r="S1109">
        <f>IMAGE("https://mitra.stanford.edu/kundaje/oak/projects/neuro-variants/variant_position/credible/roussos_2024/variant_figures/roussos_2024.adolescence.Astrocyte/rs1927808_count_position.png",4,220,900)</f>
        <v/>
      </c>
      <c r="T1109">
        <f>IMAGE("https://mitra.stanford.edu/kundaje/oak/projects/neuro-variants/variant_position/credible/roussos_2024/variant_figures/roussos_2024.adolescence.Astrocyte/rs1927808_profile_position.png",4,220,900)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-0.101683728</v>
      </c>
      <c r="G1110" t="n">
        <v>0.07630482258667309</v>
      </c>
      <c r="H1110" t="n">
        <v>0.0116912219790731</v>
      </c>
      <c r="I1110" t="n">
        <v>0.5890355504252768</v>
      </c>
      <c r="J1110" t="n">
        <v>0.0042488799216686</v>
      </c>
      <c r="K1110" t="n">
        <v>0.7564493624662693</v>
      </c>
      <c r="L1110" t="b">
        <v>0</v>
      </c>
      <c r="M1110" t="b">
        <v>0</v>
      </c>
      <c r="N1110" t="inlineStr">
        <is>
          <t>ref</t>
        </is>
      </c>
      <c r="O1110" t="n">
        <v>15</v>
      </c>
      <c r="P1110" t="n">
        <v>0.002075</v>
      </c>
      <c r="Q1110" t="n">
        <v>-90</v>
      </c>
      <c r="R1110" t="n">
        <v>0.07556</v>
      </c>
      <c r="S1110">
        <f>IMAGE("https://mitra.stanford.edu/kundaje/oak/projects/neuro-variants/variant_position/credible/roussos_2024/variant_figures/roussos_2024.adolescence.Astrocyte/rs9516643_count_position.png",4,220,900)</f>
        <v/>
      </c>
      <c r="T1110">
        <f>IMAGE("https://mitra.stanford.edu/kundaje/oak/projects/neuro-variants/variant_position/credible/roussos_2024/variant_figures/roussos_2024.adolescence.Astrocyte/rs9516643_profile_position.png",4,220,900)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-0.052494028</v>
      </c>
      <c r="G1111" t="n">
        <v>0.2318538906778005</v>
      </c>
      <c r="H1111" t="n">
        <v>0.0123317913914744</v>
      </c>
      <c r="I1111" t="n">
        <v>0.5222285436281432</v>
      </c>
      <c r="J1111" t="n">
        <v>0.0054876420496691</v>
      </c>
      <c r="K1111" t="n">
        <v>0.7373352517145687</v>
      </c>
      <c r="L1111" t="b">
        <v>0</v>
      </c>
      <c r="M1111" t="b">
        <v>0</v>
      </c>
      <c r="N1111" t="inlineStr">
        <is>
          <t>ref</t>
        </is>
      </c>
      <c r="O1111" t="n">
        <v>90</v>
      </c>
      <c r="P1111" t="n">
        <v>0.003113</v>
      </c>
      <c r="Q1111" t="n">
        <v>-70</v>
      </c>
      <c r="R1111" t="n">
        <v>0.1178</v>
      </c>
      <c r="S1111">
        <f>IMAGE("https://mitra.stanford.edu/kundaje/oak/projects/neuro-variants/variant_position/credible/roussos_2024/variant_figures/roussos_2024.adolescence.Astrocyte/rs9584347_count_position.png",4,220,900)</f>
        <v/>
      </c>
      <c r="T1111">
        <f>IMAGE("https://mitra.stanford.edu/kundaje/oak/projects/neuro-variants/variant_position/credible/roussos_2024/variant_figures/roussos_2024.adolescence.Astrocyte/rs9584347_profile_position.png",4,220,900)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-0.0105642021</v>
      </c>
      <c r="G1112" t="n">
        <v>0.7135312835209141</v>
      </c>
      <c r="H1112" t="n">
        <v>0.0191623109756698</v>
      </c>
      <c r="I1112" t="n">
        <v>0.157843785185012</v>
      </c>
      <c r="J1112" t="n">
        <v>0.0015644007951814</v>
      </c>
      <c r="K1112" t="n">
        <v>0.8487424017864529</v>
      </c>
      <c r="L1112" t="b">
        <v>0</v>
      </c>
      <c r="M1112" t="b">
        <v>0</v>
      </c>
      <c r="N1112" t="inlineStr">
        <is>
          <t>ref</t>
        </is>
      </c>
      <c r="O1112" t="n">
        <v>-90</v>
      </c>
      <c r="P1112" t="n">
        <v>0.0083</v>
      </c>
      <c r="Q1112" t="n">
        <v>-85</v>
      </c>
      <c r="R1112" t="n">
        <v>0.3496</v>
      </c>
      <c r="S1112">
        <f>IMAGE("https://mitra.stanford.edu/kundaje/oak/projects/neuro-variants/variant_position/credible/roussos_2024/variant_figures/roussos_2024.adolescence.Astrocyte/rs9525161_count_position.png",4,220,900)</f>
        <v/>
      </c>
      <c r="T1112">
        <f>IMAGE("https://mitra.stanford.edu/kundaje/oak/projects/neuro-variants/variant_position/credible/roussos_2024/variant_figures/roussos_2024.adolescence.Astrocyte/rs9525161_profile_position.png",4,220,900)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0.01379398016</v>
      </c>
      <c r="G1113" t="n">
        <v>0.6308800059220688</v>
      </c>
      <c r="H1113" t="n">
        <v>0.0256855360334489</v>
      </c>
      <c r="I1113" t="n">
        <v>0.056814011069471</v>
      </c>
      <c r="J1113" t="n">
        <v>0.0222079636827581</v>
      </c>
      <c r="K1113" t="n">
        <v>0.5612902292650261</v>
      </c>
      <c r="L1113" t="b">
        <v>0</v>
      </c>
      <c r="M1113" t="b">
        <v>0</v>
      </c>
      <c r="N1113" t="inlineStr">
        <is>
          <t>alt</t>
        </is>
      </c>
      <c r="O1113" t="n">
        <v>-100</v>
      </c>
      <c r="P1113" t="n">
        <v>0.007996</v>
      </c>
      <c r="Q1113" t="n">
        <v>100</v>
      </c>
      <c r="R1113" t="n">
        <v>0.08386</v>
      </c>
      <c r="S1113">
        <f>IMAGE("https://mitra.stanford.edu/kundaje/oak/projects/neuro-variants/variant_position/credible/roussos_2024/variant_figures/roussos_2024.adolescence.Astrocyte/rs8002865_count_position.png",4,220,900)</f>
        <v/>
      </c>
      <c r="T1113">
        <f>IMAGE("https://mitra.stanford.edu/kundaje/oak/projects/neuro-variants/variant_position/credible/roussos_2024/variant_figures/roussos_2024.adolescence.Astrocyte/rs8002865_profile_position.png",4,220,900)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0.0012664839299999</v>
      </c>
      <c r="G1114" t="n">
        <v>0.8668406423080609</v>
      </c>
      <c r="H1114" t="n">
        <v>0.0231868842054395</v>
      </c>
      <c r="I1114" t="n">
        <v>0.08317295620479601</v>
      </c>
      <c r="J1114" t="n">
        <v>0.0026444233451027</v>
      </c>
      <c r="K1114" t="n">
        <v>0.8030093169424912</v>
      </c>
      <c r="L1114" t="b">
        <v>0</v>
      </c>
      <c r="M1114" t="b">
        <v>0</v>
      </c>
      <c r="N1114" t="inlineStr">
        <is>
          <t>alt</t>
        </is>
      </c>
      <c r="O1114" t="n">
        <v>95</v>
      </c>
      <c r="P1114" t="n">
        <v>0.00551</v>
      </c>
      <c r="Q1114" t="n">
        <v>100</v>
      </c>
      <c r="R1114" t="n">
        <v>0.0741</v>
      </c>
      <c r="S1114">
        <f>IMAGE("https://mitra.stanford.edu/kundaje/oak/projects/neuro-variants/variant_position/credible/roussos_2024/variant_figures/roussos_2024.adolescence.Astrocyte/rs1927804_count_position.png",4,220,900)</f>
        <v/>
      </c>
      <c r="T1114">
        <f>IMAGE("https://mitra.stanford.edu/kundaje/oak/projects/neuro-variants/variant_position/credible/roussos_2024/variant_figures/roussos_2024.adolescence.Astrocyte/rs1927804_profile_position.png",4,220,900)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0.039121994886</v>
      </c>
      <c r="G1115" t="n">
        <v>0.3520994247490018</v>
      </c>
      <c r="H1115" t="n">
        <v>0.0140334023576606</v>
      </c>
      <c r="I1115" t="n">
        <v>0.3881541319776191</v>
      </c>
      <c r="J1115" t="n">
        <v>0.0031147078895053</v>
      </c>
      <c r="K1115" t="n">
        <v>0.7829669629226158</v>
      </c>
      <c r="L1115" t="b">
        <v>0</v>
      </c>
      <c r="M1115" t="b">
        <v>0</v>
      </c>
      <c r="N1115" t="inlineStr">
        <is>
          <t>alt</t>
        </is>
      </c>
      <c r="O1115" t="n">
        <v>-15</v>
      </c>
      <c r="P1115" t="n">
        <v>0.001106</v>
      </c>
      <c r="Q1115" t="n">
        <v>70</v>
      </c>
      <c r="R1115" t="n">
        <v>0.11975</v>
      </c>
      <c r="S1115">
        <f>IMAGE("https://mitra.stanford.edu/kundaje/oak/projects/neuro-variants/variant_position/credible/roussos_2024/variant_figures/roussos_2024.adolescence.Astrocyte/rs9516649_count_position.png",4,220,900)</f>
        <v/>
      </c>
      <c r="T1115">
        <f>IMAGE("https://mitra.stanford.edu/kundaje/oak/projects/neuro-variants/variant_position/credible/roussos_2024/variant_figures/roussos_2024.adolescence.Astrocyte/rs9516649_profile_position.png",4,220,900)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0.00362591946</v>
      </c>
      <c r="G1116" t="n">
        <v>0.7722495554872666</v>
      </c>
      <c r="H1116" t="n">
        <v>0.0296475280880992</v>
      </c>
      <c r="I1116" t="n">
        <v>0.0331638723796269</v>
      </c>
      <c r="J1116" t="n">
        <v>0.0003790463756935</v>
      </c>
      <c r="K1116" t="n">
        <v>0.928946987620545</v>
      </c>
      <c r="L1116" t="b">
        <v>0</v>
      </c>
      <c r="M1116" t="b">
        <v>0</v>
      </c>
      <c r="N1116" t="inlineStr">
        <is>
          <t>alt</t>
        </is>
      </c>
      <c r="O1116" t="n">
        <v>-60</v>
      </c>
      <c r="P1116" t="n">
        <v>0.03214</v>
      </c>
      <c r="Q1116" t="n">
        <v>-20</v>
      </c>
      <c r="R1116" t="n">
        <v>0.02466</v>
      </c>
      <c r="S1116">
        <f>IMAGE("https://mitra.stanford.edu/kundaje/oak/projects/neuro-variants/variant_position/credible/roussos_2024/variant_figures/roussos_2024.adolescence.Astrocyte/rs2104657_count_position.png",4,220,900)</f>
        <v/>
      </c>
      <c r="T1116">
        <f>IMAGE("https://mitra.stanford.edu/kundaje/oak/projects/neuro-variants/variant_position/credible/roussos_2024/variant_figures/roussos_2024.adolescence.Astrocyte/rs2104657_profile_position.png",4,220,900)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-0.068175212</v>
      </c>
      <c r="G1117" t="n">
        <v>0.1514343827863694</v>
      </c>
      <c r="H1117" t="n">
        <v>0.0123935222306398</v>
      </c>
      <c r="I1117" t="n">
        <v>0.5194275245018847</v>
      </c>
      <c r="J1117" t="n">
        <v>0.0795960300270005</v>
      </c>
      <c r="K1117" t="n">
        <v>0.3660010549671673</v>
      </c>
      <c r="L1117" t="b">
        <v>0</v>
      </c>
      <c r="M1117" t="b">
        <v>0</v>
      </c>
      <c r="N1117" t="inlineStr">
        <is>
          <t>ref</t>
        </is>
      </c>
      <c r="O1117" t="n">
        <v>35</v>
      </c>
      <c r="P1117" t="n">
        <v>0.00827</v>
      </c>
      <c r="Q1117" t="n">
        <v>75</v>
      </c>
      <c r="R1117" t="n">
        <v>0.328</v>
      </c>
      <c r="S1117">
        <f>IMAGE("https://mitra.stanford.edu/kundaje/oak/projects/neuro-variants/variant_position/credible/roussos_2024/variant_figures/roussos_2024.adolescence.Astrocyte/rs1927784_count_position.png",4,220,900)</f>
        <v/>
      </c>
      <c r="T1117">
        <f>IMAGE("https://mitra.stanford.edu/kundaje/oak/projects/neuro-variants/variant_position/credible/roussos_2024/variant_figures/roussos_2024.adolescence.Astrocyte/rs1927784_profile_position.png",4,220,900)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0.01475289488</v>
      </c>
      <c r="G1118" t="n">
        <v>0.5878577530116824</v>
      </c>
      <c r="H1118" t="n">
        <v>0.0108734627982733</v>
      </c>
      <c r="I1118" t="n">
        <v>0.6499515615229999</v>
      </c>
      <c r="J1118" t="n">
        <v>0.0006141886478948</v>
      </c>
      <c r="K1118" t="n">
        <v>0.9150262771403828</v>
      </c>
      <c r="L1118" t="b">
        <v>0</v>
      </c>
      <c r="M1118" t="b">
        <v>0</v>
      </c>
      <c r="N1118" t="inlineStr">
        <is>
          <t>alt</t>
        </is>
      </c>
      <c r="O1118" t="n">
        <v>-95</v>
      </c>
      <c r="P1118" t="n">
        <v>0.03683</v>
      </c>
      <c r="Q1118" t="n">
        <v>-100</v>
      </c>
      <c r="R1118" t="n">
        <v>0.07679999999999999</v>
      </c>
      <c r="S1118">
        <f>IMAGE("https://mitra.stanford.edu/kundaje/oak/projects/neuro-variants/variant_position/credible/roussos_2024/variant_figures/roussos_2024.adolescence.Astrocyte/rs61966895_count_position.png",4,220,900)</f>
        <v/>
      </c>
      <c r="T1118">
        <f>IMAGE("https://mitra.stanford.edu/kundaje/oak/projects/neuro-variants/variant_position/credible/roussos_2024/variant_figures/roussos_2024.adolescence.Astrocyte/rs61966895_profile_position.png",4,220,900)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0.192714438</v>
      </c>
      <c r="G1119" t="n">
        <v>0.0198684080668493</v>
      </c>
      <c r="H1119" t="n">
        <v>0.0187471213677371</v>
      </c>
      <c r="I1119" t="n">
        <v>0.1693651654780984</v>
      </c>
      <c r="J1119" t="n">
        <v>0.0871458030442393</v>
      </c>
      <c r="K1119" t="n">
        <v>0.3489461013629814</v>
      </c>
      <c r="L1119" t="b">
        <v>0</v>
      </c>
      <c r="M1119" t="b">
        <v>0</v>
      </c>
      <c r="N1119" t="inlineStr">
        <is>
          <t>alt</t>
        </is>
      </c>
      <c r="O1119" t="n">
        <v>40</v>
      </c>
      <c r="P1119" t="n">
        <v>0.004326</v>
      </c>
      <c r="Q1119" t="n">
        <v>45</v>
      </c>
      <c r="R1119" t="n">
        <v>0.0786</v>
      </c>
      <c r="S1119">
        <f>IMAGE("https://mitra.stanford.edu/kundaje/oak/projects/neuro-variants/variant_position/credible/roussos_2024/variant_figures/roussos_2024.adolescence.Astrocyte/rs11619328_count_position.png",4,220,900)</f>
        <v/>
      </c>
      <c r="T1119">
        <f>IMAGE("https://mitra.stanford.edu/kundaje/oak/projects/neuro-variants/variant_position/credible/roussos_2024/variant_figures/roussos_2024.adolescence.Astrocyte/rs11619328_profile_position.png",4,220,900)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-0.1081425698</v>
      </c>
      <c r="G1120" t="n">
        <v>0.0964939322182848</v>
      </c>
      <c r="H1120" t="n">
        <v>0.0175199395253623</v>
      </c>
      <c r="I1120" t="n">
        <v>0.2070195934647714</v>
      </c>
      <c r="J1120" t="n">
        <v>0.0464431949678069</v>
      </c>
      <c r="K1120" t="n">
        <v>0.446303181302246</v>
      </c>
      <c r="L1120" t="b">
        <v>0</v>
      </c>
      <c r="M1120" t="b">
        <v>0</v>
      </c>
      <c r="N1120" t="inlineStr">
        <is>
          <t>ref</t>
        </is>
      </c>
      <c r="O1120" t="n">
        <v>-30</v>
      </c>
      <c r="P1120" t="n">
        <v>0.003353</v>
      </c>
      <c r="Q1120" t="n">
        <v>-100</v>
      </c>
      <c r="R1120" t="n">
        <v>0.1582</v>
      </c>
      <c r="S1120">
        <f>IMAGE("https://mitra.stanford.edu/kundaje/oak/projects/neuro-variants/variant_position/credible/roussos_2024/variant_figures/roussos_2024.adolescence.Astrocyte/rs2038823_count_position.png",4,220,900)</f>
        <v/>
      </c>
      <c r="T1120">
        <f>IMAGE("https://mitra.stanford.edu/kundaje/oak/projects/neuro-variants/variant_position/credible/roussos_2024/variant_figures/roussos_2024.adolescence.Astrocyte/rs2038823_profile_position.png",4,220,900)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-0.0040679529399999</v>
      </c>
      <c r="G1121" t="n">
        <v>0.5820741425441924</v>
      </c>
      <c r="H1121" t="n">
        <v>0.0121787028962119</v>
      </c>
      <c r="I1121" t="n">
        <v>0.5384309077853562</v>
      </c>
      <c r="J1121" t="n">
        <v>0.001172744266089</v>
      </c>
      <c r="K1121" t="n">
        <v>0.8690794193651948</v>
      </c>
      <c r="L1121" t="b">
        <v>0</v>
      </c>
      <c r="M1121" t="b">
        <v>0</v>
      </c>
      <c r="N1121" t="inlineStr">
        <is>
          <t>ref</t>
        </is>
      </c>
      <c r="O1121" t="n">
        <v>10</v>
      </c>
      <c r="P1121" t="n">
        <v>0.001986</v>
      </c>
      <c r="Q1121" t="n">
        <v>-45</v>
      </c>
      <c r="R1121" t="n">
        <v>0.06963999999999999</v>
      </c>
      <c r="S1121">
        <f>IMAGE("https://mitra.stanford.edu/kundaje/oak/projects/neuro-variants/variant_position/credible/roussos_2024/variant_figures/roussos_2024.adolescence.Astrocyte/rs11618312_count_position.png",4,220,900)</f>
        <v/>
      </c>
      <c r="T1121">
        <f>IMAGE("https://mitra.stanford.edu/kundaje/oak/projects/neuro-variants/variant_position/credible/roussos_2024/variant_figures/roussos_2024.adolescence.Astrocyte/rs11618312_profile_position.png",4,220,900)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-0.0742620378</v>
      </c>
      <c r="G1122" t="n">
        <v>0.1307078644939142</v>
      </c>
      <c r="H1122" t="n">
        <v>0.0104036153538836</v>
      </c>
      <c r="I1122" t="n">
        <v>0.7188534034082041</v>
      </c>
      <c r="J1122" t="n">
        <v>0.0008923537963977999</v>
      </c>
      <c r="K1122" t="n">
        <v>0.8828099095246823</v>
      </c>
      <c r="L1122" t="b">
        <v>0</v>
      </c>
      <c r="M1122" t="b">
        <v>0</v>
      </c>
      <c r="N1122" t="inlineStr">
        <is>
          <t>ref</t>
        </is>
      </c>
      <c r="O1122" t="n">
        <v>95</v>
      </c>
      <c r="P1122" t="n">
        <v>0.01129</v>
      </c>
      <c r="Q1122" t="n">
        <v>5</v>
      </c>
      <c r="R1122" t="n">
        <v>0.002808</v>
      </c>
      <c r="S1122">
        <f>IMAGE("https://mitra.stanford.edu/kundaje/oak/projects/neuro-variants/variant_position/credible/roussos_2024/variant_figures/roussos_2024.adolescence.Astrocyte/rs117420459_count_position.png",4,220,900)</f>
        <v/>
      </c>
      <c r="T1122">
        <f>IMAGE("https://mitra.stanford.edu/kundaje/oak/projects/neuro-variants/variant_position/credible/roussos_2024/variant_figures/roussos_2024.adolescence.Astrocyte/rs117420459_profile_position.png",4,220,900)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0.00043616704</v>
      </c>
      <c r="G1123" t="n">
        <v>0.6913440939918294</v>
      </c>
      <c r="H1123" t="n">
        <v>0.0233444694939345</v>
      </c>
      <c r="I1123" t="n">
        <v>0.0808760082133636</v>
      </c>
      <c r="J1123" t="n">
        <v>0.0071492152033943</v>
      </c>
      <c r="K1123" t="n">
        <v>0.712984978292331</v>
      </c>
      <c r="L1123" t="b">
        <v>0</v>
      </c>
      <c r="M1123" t="b">
        <v>0</v>
      </c>
      <c r="N1123" t="inlineStr">
        <is>
          <t>alt</t>
        </is>
      </c>
      <c r="O1123" t="n">
        <v>95</v>
      </c>
      <c r="P1123" t="n">
        <v>0.066</v>
      </c>
      <c r="Q1123" t="n">
        <v>100</v>
      </c>
      <c r="R1123" t="n">
        <v>0.1321</v>
      </c>
      <c r="S1123">
        <f>IMAGE("https://mitra.stanford.edu/kundaje/oak/projects/neuro-variants/variant_position/credible/roussos_2024/variant_figures/roussos_2024.adolescence.Astrocyte/rs115587611_count_position.png",4,220,900)</f>
        <v/>
      </c>
      <c r="T1123">
        <f>IMAGE("https://mitra.stanford.edu/kundaje/oak/projects/neuro-variants/variant_position/credible/roussos_2024/variant_figures/roussos_2024.adolescence.Astrocyte/rs115587611_profile_position.png",4,220,900)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-0.0130225195999999</v>
      </c>
      <c r="G1124" t="n">
        <v>0.6779416828428976</v>
      </c>
      <c r="H1124" t="n">
        <v>0.0336408344822584</v>
      </c>
      <c r="I1124" t="n">
        <v>0.0199730261124894</v>
      </c>
      <c r="J1124" t="n">
        <v>0.0024567545915793</v>
      </c>
      <c r="K1124" t="n">
        <v>0.8031106539811314</v>
      </c>
      <c r="L1124" t="b">
        <v>0</v>
      </c>
      <c r="M1124" t="b">
        <v>0</v>
      </c>
      <c r="N1124" t="inlineStr">
        <is>
          <t>ref</t>
        </is>
      </c>
      <c r="O1124" t="n">
        <v>-35</v>
      </c>
      <c r="P1124" t="n">
        <v>0.003845</v>
      </c>
      <c r="Q1124" t="n">
        <v>-95</v>
      </c>
      <c r="R1124" t="n">
        <v>0.1392</v>
      </c>
      <c r="S1124">
        <f>IMAGE("https://mitra.stanford.edu/kundaje/oak/projects/neuro-variants/variant_position/credible/roussos_2024/variant_figures/roussos_2024.adolescence.Astrocyte/rs115470719_count_position.png",4,220,900)</f>
        <v/>
      </c>
      <c r="T1124">
        <f>IMAGE("https://mitra.stanford.edu/kundaje/oak/projects/neuro-variants/variant_position/credible/roussos_2024/variant_figures/roussos_2024.adolescence.Astrocyte/rs115470719_profile_position.png",4,220,900)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0.0496797131999999</v>
      </c>
      <c r="G1125" t="n">
        <v>0.2257995874496877</v>
      </c>
      <c r="H1125" t="n">
        <v>0.0151855007310647</v>
      </c>
      <c r="I1125" t="n">
        <v>0.314386979822561</v>
      </c>
      <c r="J1125" t="n">
        <v>0.0102134824793044</v>
      </c>
      <c r="K1125" t="n">
        <v>0.6648564849139952</v>
      </c>
      <c r="L1125" t="b">
        <v>0</v>
      </c>
      <c r="M1125" t="b">
        <v>0</v>
      </c>
      <c r="N1125" t="inlineStr">
        <is>
          <t>alt</t>
        </is>
      </c>
      <c r="O1125" t="n">
        <v>85</v>
      </c>
      <c r="P1125" t="n">
        <v>0.1017</v>
      </c>
      <c r="Q1125" t="n">
        <v>85</v>
      </c>
      <c r="R1125" t="n">
        <v>0.251</v>
      </c>
      <c r="S1125">
        <f>IMAGE("https://mitra.stanford.edu/kundaje/oak/projects/neuro-variants/variant_position/credible/roussos_2024/variant_figures/roussos_2024.adolescence.Astrocyte/rs61966906_count_position.png",4,220,900)</f>
        <v/>
      </c>
      <c r="T1125">
        <f>IMAGE("https://mitra.stanford.edu/kundaje/oak/projects/neuro-variants/variant_position/credible/roussos_2024/variant_figures/roussos_2024.adolescence.Astrocyte/rs61966906_profile_position.png",4,220,900)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-0.0759424929999999</v>
      </c>
      <c r="G1126" t="n">
        <v>0.1267383759941237</v>
      </c>
      <c r="H1126" t="n">
        <v>0.016058642116049</v>
      </c>
      <c r="I1126" t="n">
        <v>0.2658033251841739</v>
      </c>
      <c r="J1126" t="n">
        <v>0.0036332077263151</v>
      </c>
      <c r="K1126" t="n">
        <v>0.7945458720208883</v>
      </c>
      <c r="L1126" t="b">
        <v>0</v>
      </c>
      <c r="M1126" t="b">
        <v>0</v>
      </c>
      <c r="N1126" t="inlineStr">
        <is>
          <t>ref</t>
        </is>
      </c>
      <c r="O1126" t="n">
        <v>-100</v>
      </c>
      <c r="P1126" t="n">
        <v>0.01036</v>
      </c>
      <c r="Q1126" t="n">
        <v>80</v>
      </c>
      <c r="R1126" t="n">
        <v>0.1656</v>
      </c>
      <c r="S1126">
        <f>IMAGE("https://mitra.stanford.edu/kundaje/oak/projects/neuro-variants/variant_position/credible/roussos_2024/variant_figures/roussos_2024.adolescence.Astrocyte/rs61966910_count_position.png",4,220,900)</f>
        <v/>
      </c>
      <c r="T1126">
        <f>IMAGE("https://mitra.stanford.edu/kundaje/oak/projects/neuro-variants/variant_position/credible/roussos_2024/variant_figures/roussos_2024.adolescence.Astrocyte/rs61966910_profile_position.png",4,220,900)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-0.0634379746</v>
      </c>
      <c r="G1127" t="n">
        <v>0.1703830705851029</v>
      </c>
      <c r="H1127" t="n">
        <v>0.0133869462256353</v>
      </c>
      <c r="I1127" t="n">
        <v>0.4352539383339031</v>
      </c>
      <c r="J1127" t="n">
        <v>0.0768544343233539</v>
      </c>
      <c r="K1127" t="n">
        <v>0.3834166756857348</v>
      </c>
      <c r="L1127" t="b">
        <v>0</v>
      </c>
      <c r="M1127" t="b">
        <v>0</v>
      </c>
      <c r="N1127" t="inlineStr">
        <is>
          <t>ref</t>
        </is>
      </c>
      <c r="O1127" t="n">
        <v>-60</v>
      </c>
      <c r="P1127" t="n">
        <v>0.002075</v>
      </c>
      <c r="Q1127" t="n">
        <v>-15</v>
      </c>
      <c r="R1127" t="n">
        <v>0.03091</v>
      </c>
      <c r="S1127">
        <f>IMAGE("https://mitra.stanford.edu/kundaje/oak/projects/neuro-variants/variant_position/credible/roussos_2024/variant_figures/roussos_2024.adolescence.Astrocyte/rs11616787_count_position.png",4,220,900)</f>
        <v/>
      </c>
      <c r="T1127">
        <f>IMAGE("https://mitra.stanford.edu/kundaje/oak/projects/neuro-variants/variant_position/credible/roussos_2024/variant_figures/roussos_2024.adolescence.Astrocyte/rs11616787_profile_position.png",4,220,900)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0.0531747708</v>
      </c>
      <c r="G1128" t="n">
        <v>0.2100262645609204</v>
      </c>
      <c r="H1128" t="n">
        <v>0.009843644449806</v>
      </c>
      <c r="I1128" t="n">
        <v>0.7620932730676853</v>
      </c>
      <c r="J1128" t="n">
        <v>0.0004472895587929</v>
      </c>
      <c r="K1128" t="n">
        <v>0.9233922561180378</v>
      </c>
      <c r="L1128" t="b">
        <v>0</v>
      </c>
      <c r="M1128" t="b">
        <v>0</v>
      </c>
      <c r="N1128" t="inlineStr">
        <is>
          <t>alt</t>
        </is>
      </c>
      <c r="O1128" t="n">
        <v>45</v>
      </c>
      <c r="P1128" t="n">
        <v>0.006226</v>
      </c>
      <c r="Q1128" t="n">
        <v>45</v>
      </c>
      <c r="R1128" t="n">
        <v>0.0926</v>
      </c>
      <c r="S1128">
        <f>IMAGE("https://mitra.stanford.edu/kundaje/oak/projects/neuro-variants/variant_position/credible/roussos_2024/variant_figures/roussos_2024.adolescence.Astrocyte/rs11620555_count_position.png",4,220,900)</f>
        <v/>
      </c>
      <c r="T1128">
        <f>IMAGE("https://mitra.stanford.edu/kundaje/oak/projects/neuro-variants/variant_position/credible/roussos_2024/variant_figures/roussos_2024.adolescence.Astrocyte/rs11620555_profile_position.png",4,220,900)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-0.1293574326</v>
      </c>
      <c r="G1129" t="n">
        <v>0.0421162770746961</v>
      </c>
      <c r="H1129" t="n">
        <v>0.0184334596202809</v>
      </c>
      <c r="I1129" t="n">
        <v>0.1843995113503003</v>
      </c>
      <c r="J1129" t="n">
        <v>0.0485120018989407</v>
      </c>
      <c r="K1129" t="n">
        <v>0.4714758473504611</v>
      </c>
      <c r="L1129" t="b">
        <v>0</v>
      </c>
      <c r="M1129" t="b">
        <v>0</v>
      </c>
      <c r="N1129" t="inlineStr">
        <is>
          <t>ref</t>
        </is>
      </c>
      <c r="O1129" t="n">
        <v>-5</v>
      </c>
      <c r="P1129" t="n">
        <v>0.003448</v>
      </c>
      <c r="Q1129" t="n">
        <v>-70</v>
      </c>
      <c r="R1129" t="n">
        <v>0.164</v>
      </c>
      <c r="S1129">
        <f>IMAGE("https://mitra.stanford.edu/kundaje/oak/projects/neuro-variants/variant_position/credible/roussos_2024/variant_figures/roussos_2024.adolescence.Astrocyte/rs11842501_count_position.png",4,220,900)</f>
        <v/>
      </c>
      <c r="T1129">
        <f>IMAGE("https://mitra.stanford.edu/kundaje/oak/projects/neuro-variants/variant_position/credible/roussos_2024/variant_figures/roussos_2024.adolescence.Astrocyte/rs11842501_profile_position.png",4,220,900)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-0.0307589652</v>
      </c>
      <c r="G1130" t="n">
        <v>0.3690617432230583</v>
      </c>
      <c r="H1130" t="n">
        <v>0.0132576841958706</v>
      </c>
      <c r="I1130" t="n">
        <v>0.4478088978737303</v>
      </c>
      <c r="J1130" t="n">
        <v>0.1154511467821855</v>
      </c>
      <c r="K1130" t="n">
        <v>0.3045652145856417</v>
      </c>
      <c r="L1130" t="b">
        <v>0</v>
      </c>
      <c r="M1130" t="b">
        <v>0</v>
      </c>
      <c r="N1130" t="inlineStr">
        <is>
          <t>ref</t>
        </is>
      </c>
      <c r="O1130" t="n">
        <v>-100</v>
      </c>
      <c r="P1130" t="n">
        <v>0.01398</v>
      </c>
      <c r="Q1130" t="n">
        <v>-80</v>
      </c>
      <c r="R1130" t="n">
        <v>0.1874</v>
      </c>
      <c r="S1130">
        <f>IMAGE("https://mitra.stanford.edu/kundaje/oak/projects/neuro-variants/variant_position/credible/roussos_2024/variant_figures/roussos_2024.adolescence.Astrocyte/rs61966935_count_position.png",4,220,900)</f>
        <v/>
      </c>
      <c r="T1130">
        <f>IMAGE("https://mitra.stanford.edu/kundaje/oak/projects/neuro-variants/variant_position/credible/roussos_2024/variant_figures/roussos_2024.adolescence.Astrocyte/rs61966935_profile_position.png",4,220,900)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0.033687172</v>
      </c>
      <c r="G1131" t="n">
        <v>0.3837633683327458</v>
      </c>
      <c r="H1131" t="n">
        <v>0.0137270113304239</v>
      </c>
      <c r="I1131" t="n">
        <v>0.4101793857579317</v>
      </c>
      <c r="J1131" t="n">
        <v>0.3008463638251787</v>
      </c>
      <c r="K1131" t="n">
        <v>0.133598792499595</v>
      </c>
      <c r="L1131" t="b">
        <v>0</v>
      </c>
      <c r="M1131" t="b">
        <v>0</v>
      </c>
      <c r="N1131" t="inlineStr">
        <is>
          <t>alt</t>
        </is>
      </c>
      <c r="O1131" t="n">
        <v>90</v>
      </c>
      <c r="P1131" t="n">
        <v>0.05615</v>
      </c>
      <c r="Q1131" t="n">
        <v>100</v>
      </c>
      <c r="R1131" t="n">
        <v>0.759</v>
      </c>
      <c r="S1131">
        <f>IMAGE("https://mitra.stanford.edu/kundaje/oak/projects/neuro-variants/variant_position/credible/roussos_2024/variant_figures/roussos_2024.adolescence.Astrocyte/rs11618566_count_position.png",4,220,900)</f>
        <v/>
      </c>
      <c r="T1131">
        <f>IMAGE("https://mitra.stanford.edu/kundaje/oak/projects/neuro-variants/variant_position/credible/roussos_2024/variant_figures/roussos_2024.adolescence.Astrocyte/rs11618566_profile_position.png",4,220,900)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0.00591040808</v>
      </c>
      <c r="G1132" t="n">
        <v>0.7174175406133038</v>
      </c>
      <c r="H1132" t="n">
        <v>0.018394803586982</v>
      </c>
      <c r="I1132" t="n">
        <v>0.1811219134650966</v>
      </c>
      <c r="J1132" t="n">
        <v>0.0111013856333263</v>
      </c>
      <c r="K1132" t="n">
        <v>0.6562307075006115</v>
      </c>
      <c r="L1132" t="b">
        <v>0</v>
      </c>
      <c r="M1132" t="b">
        <v>0</v>
      </c>
      <c r="N1132" t="inlineStr">
        <is>
          <t>alt</t>
        </is>
      </c>
      <c r="O1132" t="n">
        <v>25</v>
      </c>
      <c r="P1132" t="n">
        <v>0.00116</v>
      </c>
      <c r="Q1132" t="n">
        <v>-100</v>
      </c>
      <c r="R1132" t="n">
        <v>0.2607</v>
      </c>
      <c r="S1132">
        <f>IMAGE("https://mitra.stanford.edu/kundaje/oak/projects/neuro-variants/variant_position/credible/roussos_2024/variant_figures/roussos_2024.adolescence.Astrocyte/rs7993037_count_position.png",4,220,900)</f>
        <v/>
      </c>
      <c r="T1132">
        <f>IMAGE("https://mitra.stanford.edu/kundaje/oak/projects/neuro-variants/variant_position/credible/roussos_2024/variant_figures/roussos_2024.adolescence.Astrocyte/rs7993037_profile_position.png",4,220,900)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0.0472141258</v>
      </c>
      <c r="G1133" t="n">
        <v>0.2553010182047647</v>
      </c>
      <c r="H1133" t="n">
        <v>0.0201768335432293</v>
      </c>
      <c r="I1133" t="n">
        <v>0.1376207067358104</v>
      </c>
      <c r="J1133" t="n">
        <v>0.0130641189211642</v>
      </c>
      <c r="K1133" t="n">
        <v>0.6362554130049599</v>
      </c>
      <c r="L1133" t="b">
        <v>0</v>
      </c>
      <c r="M1133" t="b">
        <v>0</v>
      </c>
      <c r="N1133" t="inlineStr">
        <is>
          <t>alt</t>
        </is>
      </c>
      <c r="O1133" t="n">
        <v>15</v>
      </c>
      <c r="P1133" t="n">
        <v>0.002197</v>
      </c>
      <c r="Q1133" t="n">
        <v>-100</v>
      </c>
      <c r="R1133" t="n">
        <v>0.2664</v>
      </c>
      <c r="S1133">
        <f>IMAGE("https://mitra.stanford.edu/kundaje/oak/projects/neuro-variants/variant_position/credible/roussos_2024/variant_figures/roussos_2024.adolescence.Astrocyte/rs114779898_count_position.png",4,220,900)</f>
        <v/>
      </c>
      <c r="T1133">
        <f>IMAGE("https://mitra.stanford.edu/kundaje/oak/projects/neuro-variants/variant_position/credible/roussos_2024/variant_figures/roussos_2024.adolescence.Astrocyte/rs114779898_profile_position.png",4,220,900)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-0.01215110516</v>
      </c>
      <c r="G1134" t="n">
        <v>0.7024297897414472</v>
      </c>
      <c r="H1134" t="n">
        <v>0.010301006808079</v>
      </c>
      <c r="I1134" t="n">
        <v>0.7253182487694093</v>
      </c>
      <c r="J1134" t="n">
        <v>0.0022965314660415</v>
      </c>
      <c r="K1134" t="n">
        <v>0.8234527689204768</v>
      </c>
      <c r="L1134" t="b">
        <v>0</v>
      </c>
      <c r="M1134" t="b">
        <v>0</v>
      </c>
      <c r="N1134" t="inlineStr">
        <is>
          <t>ref</t>
        </is>
      </c>
      <c r="O1134" t="n">
        <v>100</v>
      </c>
      <c r="P1134" t="n">
        <v>0.015465</v>
      </c>
      <c r="Q1134" t="n">
        <v>-100</v>
      </c>
      <c r="R1134" t="n">
        <v>0.1753</v>
      </c>
      <c r="S1134">
        <f>IMAGE("https://mitra.stanford.edu/kundaje/oak/projects/neuro-variants/variant_position/credible/roussos_2024/variant_figures/roussos_2024.adolescence.Astrocyte/rs17486808_count_position.png",4,220,900)</f>
        <v/>
      </c>
      <c r="T1134">
        <f>IMAGE("https://mitra.stanford.edu/kundaje/oak/projects/neuro-variants/variant_position/credible/roussos_2024/variant_figures/roussos_2024.adolescence.Astrocyte/rs17486808_profile_position.png",4,220,900)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0.0588110396</v>
      </c>
      <c r="G1135" t="n">
        <v>0.1995331323476181</v>
      </c>
      <c r="H1135" t="n">
        <v>0.0142290245908777</v>
      </c>
      <c r="I1135" t="n">
        <v>0.3708097352506267</v>
      </c>
      <c r="J1135" t="n">
        <v>0.0003004183603832</v>
      </c>
      <c r="K1135" t="n">
        <v>0.942808348195468</v>
      </c>
      <c r="L1135" t="b">
        <v>0</v>
      </c>
      <c r="M1135" t="b">
        <v>0</v>
      </c>
      <c r="N1135" t="inlineStr">
        <is>
          <t>alt</t>
        </is>
      </c>
      <c r="O1135" t="n">
        <v>80</v>
      </c>
      <c r="P1135" t="n">
        <v>0.002392</v>
      </c>
      <c r="Q1135" t="n">
        <v>35</v>
      </c>
      <c r="R1135" t="n">
        <v>0.0279</v>
      </c>
      <c r="S1135">
        <f>IMAGE("https://mitra.stanford.edu/kundaje/oak/projects/neuro-variants/variant_position/credible/roussos_2024/variant_figures/roussos_2024.adolescence.Astrocyte/rs61973699_count_position.png",4,220,900)</f>
        <v/>
      </c>
      <c r="T1135">
        <f>IMAGE("https://mitra.stanford.edu/kundaje/oak/projects/neuro-variants/variant_position/credible/roussos_2024/variant_figures/roussos_2024.adolescence.Astrocyte/rs61973699_profile_position.png",4,220,900)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0.01077923902</v>
      </c>
      <c r="G1136" t="n">
        <v>0.7243912192481525</v>
      </c>
      <c r="H1136" t="n">
        <v>0.021993369011068</v>
      </c>
      <c r="I1136" t="n">
        <v>0.0997779386631335</v>
      </c>
      <c r="J1136" t="n">
        <v>0.0007781206420793</v>
      </c>
      <c r="K1136" t="n">
        <v>0.901962152086122</v>
      </c>
      <c r="L1136" t="b">
        <v>0</v>
      </c>
      <c r="M1136" t="b">
        <v>0</v>
      </c>
      <c r="N1136" t="inlineStr">
        <is>
          <t>alt</t>
        </is>
      </c>
      <c r="O1136" t="n">
        <v>0</v>
      </c>
      <c r="P1136" t="n">
        <v>0</v>
      </c>
      <c r="Q1136" t="n">
        <v>100</v>
      </c>
      <c r="R1136" t="n">
        <v>0.08069999999999999</v>
      </c>
      <c r="S1136">
        <f>IMAGE("https://mitra.stanford.edu/kundaje/oak/projects/neuro-variants/variant_position/credible/roussos_2024/variant_figures/roussos_2024.adolescence.Astrocyte/rs56313970_count_position.png",4,220,900)</f>
        <v/>
      </c>
      <c r="T1136">
        <f>IMAGE("https://mitra.stanford.edu/kundaje/oak/projects/neuro-variants/variant_position/credible/roussos_2024/variant_figures/roussos_2024.adolescence.Astrocyte/rs56313970_profile_position.png",4,220,900)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0.02840129128</v>
      </c>
      <c r="G1137" t="n">
        <v>0.4213998710262571</v>
      </c>
      <c r="H1137" t="n">
        <v>0.0296446013853625</v>
      </c>
      <c r="I1137" t="n">
        <v>0.0327418240362381</v>
      </c>
      <c r="J1137" t="n">
        <v>0.0014672284366376</v>
      </c>
      <c r="K1137" t="n">
        <v>0.8513398113675298</v>
      </c>
      <c r="L1137" t="b">
        <v>0</v>
      </c>
      <c r="M1137" t="b">
        <v>0</v>
      </c>
      <c r="N1137" t="inlineStr">
        <is>
          <t>alt</t>
        </is>
      </c>
      <c r="O1137" t="n">
        <v>-55</v>
      </c>
      <c r="P1137" t="n">
        <v>0.0143</v>
      </c>
      <c r="Q1137" t="n">
        <v>-60</v>
      </c>
      <c r="R1137" t="n">
        <v>0.1473</v>
      </c>
      <c r="S1137">
        <f>IMAGE("https://mitra.stanford.edu/kundaje/oak/projects/neuro-variants/variant_position/credible/roussos_2024/variant_figures/roussos_2024.adolescence.Astrocyte/rs55865304_count_position.png",4,220,900)</f>
        <v/>
      </c>
      <c r="T1137">
        <f>IMAGE("https://mitra.stanford.edu/kundaje/oak/projects/neuro-variants/variant_position/credible/roussos_2024/variant_figures/roussos_2024.adolescence.Astrocyte/rs55865304_profile_position.png",4,220,900)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-0.124707748</v>
      </c>
      <c r="G1138" t="n">
        <v>0.0532945486707662</v>
      </c>
      <c r="H1138" t="n">
        <v>0.0115679484109389</v>
      </c>
      <c r="I1138" t="n">
        <v>0.6025788816134944</v>
      </c>
      <c r="J1138" t="n">
        <v>0.0008715841319763</v>
      </c>
      <c r="K1138" t="n">
        <v>0.8864003100929088</v>
      </c>
      <c r="L1138" t="b">
        <v>0</v>
      </c>
      <c r="M1138" t="b">
        <v>0</v>
      </c>
      <c r="N1138" t="inlineStr">
        <is>
          <t>ref</t>
        </is>
      </c>
      <c r="O1138" t="n">
        <v>75</v>
      </c>
      <c r="P1138" t="n">
        <v>0.003365</v>
      </c>
      <c r="Q1138" t="n">
        <v>100</v>
      </c>
      <c r="R1138" t="n">
        <v>0.02954</v>
      </c>
      <c r="S1138">
        <f>IMAGE("https://mitra.stanford.edu/kundaje/oak/projects/neuro-variants/variant_position/credible/roussos_2024/variant_figures/roussos_2024.adolescence.Astrocyte/rs61973707_count_position.png",4,220,900)</f>
        <v/>
      </c>
      <c r="T1138">
        <f>IMAGE("https://mitra.stanford.edu/kundaje/oak/projects/neuro-variants/variant_position/credible/roussos_2024/variant_figures/roussos_2024.adolescence.Astrocyte/rs61973707_profile_position.png",4,220,900)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0.0363792962</v>
      </c>
      <c r="G1139" t="n">
        <v>0.3246421988776692</v>
      </c>
      <c r="H1139" t="n">
        <v>0.0111958996794207</v>
      </c>
      <c r="I1139" t="n">
        <v>0.6366561676677792</v>
      </c>
      <c r="J1139" t="n">
        <v>0.001381182684034</v>
      </c>
      <c r="K1139" t="n">
        <v>0.8478154620909596</v>
      </c>
      <c r="L1139" t="b">
        <v>0</v>
      </c>
      <c r="M1139" t="b">
        <v>0</v>
      </c>
      <c r="N1139" t="inlineStr">
        <is>
          <t>alt</t>
        </is>
      </c>
      <c r="O1139" t="n">
        <v>-10</v>
      </c>
      <c r="P1139" t="n">
        <v>0.006165</v>
      </c>
      <c r="Q1139" t="n">
        <v>-5</v>
      </c>
      <c r="R1139" t="n">
        <v>0.001465</v>
      </c>
      <c r="S1139">
        <f>IMAGE("https://mitra.stanford.edu/kundaje/oak/projects/neuro-variants/variant_position/credible/roussos_2024/variant_figures/roussos_2024.adolescence.Astrocyte/rs12429854_count_position.png",4,220,900)</f>
        <v/>
      </c>
      <c r="T1139">
        <f>IMAGE("https://mitra.stanford.edu/kundaje/oak/projects/neuro-variants/variant_position/credible/roussos_2024/variant_figures/roussos_2024.adolescence.Astrocyte/rs12429854_profile_position.png",4,220,900)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-0.0058896314999999</v>
      </c>
      <c r="G1140" t="n">
        <v>0.8201646463160325</v>
      </c>
      <c r="H1140" t="n">
        <v>0.009510781511178099</v>
      </c>
      <c r="I1140" t="n">
        <v>0.8043951642522189</v>
      </c>
      <c r="J1140" t="n">
        <v>0.0041895380233213</v>
      </c>
      <c r="K1140" t="n">
        <v>0.7554303976682797</v>
      </c>
      <c r="L1140" t="b">
        <v>0</v>
      </c>
      <c r="M1140" t="b">
        <v>0</v>
      </c>
      <c r="N1140" t="inlineStr">
        <is>
          <t>ref</t>
        </is>
      </c>
      <c r="O1140" t="n">
        <v>65</v>
      </c>
      <c r="P1140" t="n">
        <v>0.0206</v>
      </c>
      <c r="Q1140" t="n">
        <v>45</v>
      </c>
      <c r="R1140" t="n">
        <v>0.09520000000000001</v>
      </c>
      <c r="S1140">
        <f>IMAGE("https://mitra.stanford.edu/kundaje/oak/projects/neuro-variants/variant_position/credible/roussos_2024/variant_figures/roussos_2024.adolescence.Astrocyte/rs9585685_count_position.png",4,220,900)</f>
        <v/>
      </c>
      <c r="T1140">
        <f>IMAGE("https://mitra.stanford.edu/kundaje/oak/projects/neuro-variants/variant_position/credible/roussos_2024/variant_figures/roussos_2024.adolescence.Astrocyte/rs9585685_profile_position.png",4,220,900)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-0.0866254332</v>
      </c>
      <c r="G1141" t="n">
        <v>0.1108909753422441</v>
      </c>
      <c r="H1141" t="n">
        <v>0.0170453258040752</v>
      </c>
      <c r="I1141" t="n">
        <v>0.2258000562297014</v>
      </c>
      <c r="J1141" t="n">
        <v>0.0559512506305076</v>
      </c>
      <c r="K1141" t="n">
        <v>0.4298865856923576</v>
      </c>
      <c r="L1141" t="b">
        <v>0</v>
      </c>
      <c r="M1141" t="b">
        <v>0</v>
      </c>
      <c r="N1141" t="inlineStr">
        <is>
          <t>ref</t>
        </is>
      </c>
      <c r="O1141" t="n">
        <v>100</v>
      </c>
      <c r="P1141" t="n">
        <v>0.00322</v>
      </c>
      <c r="Q1141" t="n">
        <v>-100</v>
      </c>
      <c r="R1141" t="n">
        <v>0.0395</v>
      </c>
      <c r="S1141">
        <f>IMAGE("https://mitra.stanford.edu/kundaje/oak/projects/neuro-variants/variant_position/credible/roussos_2024/variant_figures/roussos_2024.adolescence.Astrocyte/rs9559929_count_position.png",4,220,900)</f>
        <v/>
      </c>
      <c r="T1141">
        <f>IMAGE("https://mitra.stanford.edu/kundaje/oak/projects/neuro-variants/variant_position/credible/roussos_2024/variant_figures/roussos_2024.adolescence.Astrocyte/rs9559929_profile_position.png",4,220,900)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-0.02860712854</v>
      </c>
      <c r="G1142" t="n">
        <v>0.3997260123144918</v>
      </c>
      <c r="H1142" t="n">
        <v>0.023646492645905</v>
      </c>
      <c r="I1142" t="n">
        <v>0.0817278947232517</v>
      </c>
      <c r="J1142" t="n">
        <v>0.0264108536332077</v>
      </c>
      <c r="K1142" t="n">
        <v>0.5409652883121595</v>
      </c>
      <c r="L1142" t="b">
        <v>0</v>
      </c>
      <c r="M1142" t="b">
        <v>0</v>
      </c>
      <c r="N1142" t="inlineStr">
        <is>
          <t>ref</t>
        </is>
      </c>
      <c r="O1142" t="n">
        <v>100</v>
      </c>
      <c r="P1142" t="n">
        <v>0.014404</v>
      </c>
      <c r="Q1142" t="n">
        <v>35</v>
      </c>
      <c r="R1142" t="n">
        <v>0.06616</v>
      </c>
      <c r="S1142">
        <f>IMAGE("https://mitra.stanford.edu/kundaje/oak/projects/neuro-variants/variant_position/credible/roussos_2024/variant_figures/roussos_2024.adolescence.Astrocyte/rs9559931_count_position.png",4,220,900)</f>
        <v/>
      </c>
      <c r="T1142">
        <f>IMAGE("https://mitra.stanford.edu/kundaje/oak/projects/neuro-variants/variant_position/credible/roussos_2024/variant_figures/roussos_2024.adolescence.Astrocyte/rs9559931_profile_position.png",4,220,900)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0.0648606318</v>
      </c>
      <c r="G1143" t="n">
        <v>0.2156667088458838</v>
      </c>
      <c r="H1143" t="n">
        <v>0.0172695350838324</v>
      </c>
      <c r="I1143" t="n">
        <v>0.2196345356816968</v>
      </c>
      <c r="J1143" t="n">
        <v>0.0317568169005726</v>
      </c>
      <c r="K1143" t="n">
        <v>0.5140197861418637</v>
      </c>
      <c r="L1143" t="b">
        <v>0</v>
      </c>
      <c r="M1143" t="b">
        <v>0</v>
      </c>
      <c r="N1143" t="inlineStr">
        <is>
          <t>alt</t>
        </is>
      </c>
      <c r="O1143" t="n">
        <v>100</v>
      </c>
      <c r="P1143" t="n">
        <v>0.01474</v>
      </c>
      <c r="Q1143" t="n">
        <v>30</v>
      </c>
      <c r="R1143" t="n">
        <v>0.08386</v>
      </c>
      <c r="S1143">
        <f>IMAGE("https://mitra.stanford.edu/kundaje/oak/projects/neuro-variants/variant_position/credible/roussos_2024/variant_figures/roussos_2024.adolescence.Astrocyte/rs9559932_count_position.png",4,220,900)</f>
        <v/>
      </c>
      <c r="T1143">
        <f>IMAGE("https://mitra.stanford.edu/kundaje/oak/projects/neuro-variants/variant_position/credible/roussos_2024/variant_figures/roussos_2024.adolescence.Astrocyte/rs9559932_profile_position.png",4,220,900)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0.0625407752</v>
      </c>
      <c r="G1144" t="n">
        <v>0.1792185492552508</v>
      </c>
      <c r="H1144" t="n">
        <v>0.0373411213396545</v>
      </c>
      <c r="I1144" t="n">
        <v>0.0129002116357744</v>
      </c>
      <c r="J1144" t="n">
        <v>0.0008782600955404</v>
      </c>
      <c r="K1144" t="n">
        <v>0.8882571058271983</v>
      </c>
      <c r="L1144" t="b">
        <v>0</v>
      </c>
      <c r="M1144" t="b">
        <v>0</v>
      </c>
      <c r="N1144" t="inlineStr">
        <is>
          <t>alt</t>
        </is>
      </c>
      <c r="O1144" t="n">
        <v>20</v>
      </c>
      <c r="P1144" t="n">
        <v>0.0108</v>
      </c>
      <c r="Q1144" t="n">
        <v>25</v>
      </c>
      <c r="R1144" t="n">
        <v>0.05328</v>
      </c>
      <c r="S1144">
        <f>IMAGE("https://mitra.stanford.edu/kundaje/oak/projects/neuro-variants/variant_position/credible/roussos_2024/variant_figures/roussos_2024.adolescence.Astrocyte/rs9559934_count_position.png",4,220,900)</f>
        <v/>
      </c>
      <c r="T1144">
        <f>IMAGE("https://mitra.stanford.edu/kundaje/oak/projects/neuro-variants/variant_position/credible/roussos_2024/variant_figures/roussos_2024.adolescence.Astrocyte/rs9559934_profile_position.png",4,220,900)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-0.306839268</v>
      </c>
      <c r="G1145" t="n">
        <v>0.0061917627775436</v>
      </c>
      <c r="H1145" t="n">
        <v>0.0611454022061487</v>
      </c>
      <c r="I1145" t="n">
        <v>0.0019820387066955</v>
      </c>
      <c r="J1145" t="n">
        <v>0.1480320742960567</v>
      </c>
      <c r="K1145" t="n">
        <v>0.2551643575677958</v>
      </c>
      <c r="L1145" t="b">
        <v>1</v>
      </c>
      <c r="M1145" t="b">
        <v>1</v>
      </c>
      <c r="N1145" t="inlineStr">
        <is>
          <t>ref</t>
        </is>
      </c>
      <c r="O1145" t="n">
        <v>30</v>
      </c>
      <c r="P1145" t="n">
        <v>0.008359999999999999</v>
      </c>
      <c r="Q1145" t="n">
        <v>30</v>
      </c>
      <c r="R1145" t="n">
        <v>0.1504</v>
      </c>
      <c r="S1145">
        <f>IMAGE("https://mitra.stanford.edu/kundaje/oak/projects/neuro-variants/variant_position/credible/roussos_2024/variant_figures/roussos_2024.adolescence.Astrocyte/rs34061305_count_position.png",4,220,900)</f>
        <v/>
      </c>
      <c r="T1145">
        <f>IMAGE("https://mitra.stanford.edu/kundaje/oak/projects/neuro-variants/variant_position/credible/roussos_2024/variant_figures/roussos_2024.adolescence.Astrocyte/rs34061305_profile_position.png",4,220,900)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0.0414700811999999</v>
      </c>
      <c r="G1146" t="n">
        <v>0.312848706662166</v>
      </c>
      <c r="H1146" t="n">
        <v>0.0166866935932198</v>
      </c>
      <c r="I1146" t="n">
        <v>0.2535324292142388</v>
      </c>
      <c r="J1146" t="n">
        <v>0.0323494941103165</v>
      </c>
      <c r="K1146" t="n">
        <v>0.5037739838295479</v>
      </c>
      <c r="L1146" t="b">
        <v>0</v>
      </c>
      <c r="M1146" t="b">
        <v>0</v>
      </c>
      <c r="N1146" t="inlineStr">
        <is>
          <t>alt</t>
        </is>
      </c>
      <c r="O1146" t="n">
        <v>0</v>
      </c>
      <c r="P1146" t="n">
        <v>0</v>
      </c>
      <c r="Q1146" t="n">
        <v>-100</v>
      </c>
      <c r="R1146" t="n">
        <v>0.1311</v>
      </c>
      <c r="S1146">
        <f>IMAGE("https://mitra.stanford.edu/kundaje/oak/projects/neuro-variants/variant_position/credible/roussos_2024/variant_figures/roussos_2024.adolescence.Astrocyte/rs9522088_count_position.png",4,220,900)</f>
        <v/>
      </c>
      <c r="T1146">
        <f>IMAGE("https://mitra.stanford.edu/kundaje/oak/projects/neuro-variants/variant_position/credible/roussos_2024/variant_figures/roussos_2024.adolescence.Astrocyte/rs9522088_profile_position.png",4,220,900)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-0.045811607</v>
      </c>
      <c r="G1147" t="n">
        <v>0.2831312856712558</v>
      </c>
      <c r="H1147" t="n">
        <v>0.0347541650192377</v>
      </c>
      <c r="I1147" t="n">
        <v>0.027796546471407</v>
      </c>
      <c r="J1147" t="n">
        <v>0.1807242678693291</v>
      </c>
      <c r="K1147" t="n">
        <v>0.2220667904826585</v>
      </c>
      <c r="L1147" t="b">
        <v>0</v>
      </c>
      <c r="M1147" t="b">
        <v>0</v>
      </c>
      <c r="N1147" t="inlineStr">
        <is>
          <t>ref</t>
        </is>
      </c>
      <c r="O1147" t="n">
        <v>20</v>
      </c>
      <c r="P1147" t="n">
        <v>0.003448</v>
      </c>
      <c r="Q1147" t="n">
        <v>-90</v>
      </c>
      <c r="R1147" t="n">
        <v>0.094</v>
      </c>
      <c r="S1147">
        <f>IMAGE("https://mitra.stanford.edu/kundaje/oak/projects/neuro-variants/variant_position/credible/roussos_2024/variant_figures/roussos_2024.adolescence.Astrocyte/rs9515358_count_position.png",4,220,900)</f>
        <v/>
      </c>
      <c r="T1147">
        <f>IMAGE("https://mitra.stanford.edu/kundaje/oak/projects/neuro-variants/variant_position/credible/roussos_2024/variant_figures/roussos_2024.adolescence.Astrocyte/rs9515358_profile_position.png",4,220,900)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0.0194365368</v>
      </c>
      <c r="G1148" t="n">
        <v>0.548695219088006</v>
      </c>
      <c r="H1148" t="n">
        <v>0.0241429557505963</v>
      </c>
      <c r="I1148" t="n">
        <v>0.071809618523667</v>
      </c>
      <c r="J1148" t="n">
        <v>0.001116369462659</v>
      </c>
      <c r="K1148" t="n">
        <v>0.9097191175337768</v>
      </c>
      <c r="L1148" t="b">
        <v>0</v>
      </c>
      <c r="M1148" t="b">
        <v>0</v>
      </c>
      <c r="N1148" t="inlineStr">
        <is>
          <t>alt</t>
        </is>
      </c>
      <c r="O1148" t="n">
        <v>-25</v>
      </c>
      <c r="P1148" t="n">
        <v>0.002918</v>
      </c>
      <c r="Q1148" t="n">
        <v>-15</v>
      </c>
      <c r="R1148" t="n">
        <v>0.0175</v>
      </c>
      <c r="S1148">
        <f>IMAGE("https://mitra.stanford.edu/kundaje/oak/projects/neuro-variants/variant_position/credible/roussos_2024/variant_figures/roussos_2024.adolescence.Astrocyte/rs9559947_count_position.png",4,220,900)</f>
        <v/>
      </c>
      <c r="T1148">
        <f>IMAGE("https://mitra.stanford.edu/kundaje/oak/projects/neuro-variants/variant_position/credible/roussos_2024/variant_figures/roussos_2024.adolescence.Astrocyte/rs9559947_profile_position.png",4,220,900)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-0.288943538</v>
      </c>
      <c r="G1149" t="n">
        <v>0.008147239391315</v>
      </c>
      <c r="H1149" t="n">
        <v>0.0286832856697823</v>
      </c>
      <c r="I1149" t="n">
        <v>0.0417535467764072</v>
      </c>
      <c r="J1149" t="n">
        <v>0.1329058244073227</v>
      </c>
      <c r="K1149" t="n">
        <v>0.2797774131950177</v>
      </c>
      <c r="L1149" t="b">
        <v>1</v>
      </c>
      <c r="M1149" t="b">
        <v>1</v>
      </c>
      <c r="N1149" t="inlineStr">
        <is>
          <t>ref</t>
        </is>
      </c>
      <c r="O1149" t="n">
        <v>-40</v>
      </c>
      <c r="P1149" t="n">
        <v>0.01039</v>
      </c>
      <c r="Q1149" t="n">
        <v>-70</v>
      </c>
      <c r="R1149" t="n">
        <v>0.07056</v>
      </c>
      <c r="S1149">
        <f>IMAGE("https://mitra.stanford.edu/kundaje/oak/projects/neuro-variants/variant_position/credible/roussos_2024/variant_figures/roussos_2024.adolescence.Astrocyte/rs1888848_count_position.png",4,220,900)</f>
        <v/>
      </c>
      <c r="T1149">
        <f>IMAGE("https://mitra.stanford.edu/kundaje/oak/projects/neuro-variants/variant_position/credible/roussos_2024/variant_figures/roussos_2024.adolescence.Astrocyte/rs1888848_profile_position.png",4,220,900)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-0.0730655498</v>
      </c>
      <c r="G1150" t="n">
        <v>0.1582172224032771</v>
      </c>
      <c r="H1150" t="n">
        <v>0.0214448965354391</v>
      </c>
      <c r="I1150" t="n">
        <v>0.1159935139379076</v>
      </c>
      <c r="J1150" t="n">
        <v>0.130389727917396</v>
      </c>
      <c r="K1150" t="n">
        <v>0.2828203195893523</v>
      </c>
      <c r="L1150" t="b">
        <v>0</v>
      </c>
      <c r="M1150" t="b">
        <v>0</v>
      </c>
      <c r="N1150" t="inlineStr">
        <is>
          <t>ref</t>
        </is>
      </c>
      <c r="O1150" t="n">
        <v>-100</v>
      </c>
      <c r="P1150" t="n">
        <v>0.01466</v>
      </c>
      <c r="Q1150" t="n">
        <v>70</v>
      </c>
      <c r="R1150" t="n">
        <v>0.1345</v>
      </c>
      <c r="S1150">
        <f>IMAGE("https://mitra.stanford.edu/kundaje/oak/projects/neuro-variants/variant_position/credible/roussos_2024/variant_figures/roussos_2024.adolescence.Astrocyte/rs1888847_count_position.png",4,220,900)</f>
        <v/>
      </c>
      <c r="T1150">
        <f>IMAGE("https://mitra.stanford.edu/kundaje/oak/projects/neuro-variants/variant_position/credible/roussos_2024/variant_figures/roussos_2024.adolescence.Astrocyte/rs1888847_profile_position.png",4,220,900)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0.0236792548</v>
      </c>
      <c r="G1151" t="n">
        <v>0.4070284130215454</v>
      </c>
      <c r="H1151" t="n">
        <v>0.0103050843331488</v>
      </c>
      <c r="I1151" t="n">
        <v>0.7211533010422504</v>
      </c>
      <c r="J1151" t="n">
        <v>0.0792592647538794</v>
      </c>
      <c r="K1151" t="n">
        <v>0.3686972901797037</v>
      </c>
      <c r="L1151" t="b">
        <v>0</v>
      </c>
      <c r="M1151" t="b">
        <v>0</v>
      </c>
      <c r="N1151" t="inlineStr">
        <is>
          <t>alt</t>
        </is>
      </c>
      <c r="O1151" t="n">
        <v>25</v>
      </c>
      <c r="P1151" t="n">
        <v>0.001671</v>
      </c>
      <c r="Q1151" t="n">
        <v>-55</v>
      </c>
      <c r="R1151" t="n">
        <v>0.09520000000000001</v>
      </c>
      <c r="S1151">
        <f>IMAGE("https://mitra.stanford.edu/kundaje/oak/projects/neuro-variants/variant_position/credible/roussos_2024/variant_figures/roussos_2024.adolescence.Astrocyte/rs1810895_count_position.png",4,220,900)</f>
        <v/>
      </c>
      <c r="T1151">
        <f>IMAGE("https://mitra.stanford.edu/kundaje/oak/projects/neuro-variants/variant_position/credible/roussos_2024/variant_figures/roussos_2024.adolescence.Astrocyte/rs1810895_profile_position.png",4,220,900)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0.0965274292</v>
      </c>
      <c r="G1152" t="n">
        <v>0.0826153397614024</v>
      </c>
      <c r="H1152" t="n">
        <v>0.0188829310357899</v>
      </c>
      <c r="I1152" t="n">
        <v>0.1683772598338254</v>
      </c>
      <c r="J1152" t="n">
        <v>0.0086053170340918</v>
      </c>
      <c r="K1152" t="n">
        <v>0.6789474770417416</v>
      </c>
      <c r="L1152" t="b">
        <v>0</v>
      </c>
      <c r="M1152" t="b">
        <v>0</v>
      </c>
      <c r="N1152" t="inlineStr">
        <is>
          <t>alt</t>
        </is>
      </c>
      <c r="O1152" t="n">
        <v>-25</v>
      </c>
      <c r="P1152" t="n">
        <v>0.001465</v>
      </c>
      <c r="Q1152" t="n">
        <v>-60</v>
      </c>
      <c r="R1152" t="n">
        <v>0.0544</v>
      </c>
      <c r="S1152">
        <f>IMAGE("https://mitra.stanford.edu/kundaje/oak/projects/neuro-variants/variant_position/credible/roussos_2024/variant_figures/roussos_2024.adolescence.Astrocyte/rs75592562_count_position.png",4,220,900)</f>
        <v/>
      </c>
      <c r="T1152">
        <f>IMAGE("https://mitra.stanford.edu/kundaje/oak/projects/neuro-variants/variant_position/credible/roussos_2024/variant_figures/roussos_2024.adolescence.Astrocyte/rs75592562_profile_position.png",4,220,900)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-0.009198400359999999</v>
      </c>
      <c r="G1153" t="n">
        <v>0.5867242398110382</v>
      </c>
      <c r="H1153" t="n">
        <v>0.0128213937110418</v>
      </c>
      <c r="I1153" t="n">
        <v>0.4775295925719885</v>
      </c>
      <c r="J1153" t="n">
        <v>0.0070720707355427</v>
      </c>
      <c r="K1153" t="n">
        <v>0.7029828542098772</v>
      </c>
      <c r="L1153" t="b">
        <v>0</v>
      </c>
      <c r="M1153" t="b">
        <v>0</v>
      </c>
      <c r="N1153" t="inlineStr">
        <is>
          <t>ref</t>
        </is>
      </c>
      <c r="O1153" t="n">
        <v>-35</v>
      </c>
      <c r="P1153" t="n">
        <v>0.03726</v>
      </c>
      <c r="Q1153" t="n">
        <v>-45</v>
      </c>
      <c r="R1153" t="n">
        <v>0.09467</v>
      </c>
      <c r="S1153">
        <f>IMAGE("https://mitra.stanford.edu/kundaje/oak/projects/neuro-variants/variant_position/credible/roussos_2024/variant_figures/roussos_2024.adolescence.Astrocyte/rs74241867_count_position.png",4,220,900)</f>
        <v/>
      </c>
      <c r="T1153">
        <f>IMAGE("https://mitra.stanford.edu/kundaje/oak/projects/neuro-variants/variant_position/credible/roussos_2024/variant_figures/roussos_2024.adolescence.Astrocyte/rs74241867_profile_position.png",4,220,900)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0.0289176204</v>
      </c>
      <c r="G1154" t="n">
        <v>0.4268271007425515</v>
      </c>
      <c r="H1154" t="n">
        <v>0.009705989131297501</v>
      </c>
      <c r="I1154" t="n">
        <v>0.7915181083208671</v>
      </c>
      <c r="J1154" t="n">
        <v>0.002341037889802</v>
      </c>
      <c r="K1154" t="n">
        <v>0.8103023554559029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0.08813</v>
      </c>
      <c r="Q1154" t="n">
        <v>-85</v>
      </c>
      <c r="R1154" t="n">
        <v>0.03577</v>
      </c>
      <c r="S1154">
        <f>IMAGE("https://mitra.stanford.edu/kundaje/oak/projects/neuro-variants/variant_position/credible/roussos_2024/variant_figures/roussos_2024.adolescence.Astrocyte/rs2319380_count_position.png",4,220,900)</f>
        <v/>
      </c>
      <c r="T1154">
        <f>IMAGE("https://mitra.stanford.edu/kundaje/oak/projects/neuro-variants/variant_position/credible/roussos_2024/variant_figures/roussos_2024.adolescence.Astrocyte/rs2319380_profile_position.png",4,220,900)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0.32279118</v>
      </c>
      <c r="G1155" t="n">
        <v>0.0049412320434144</v>
      </c>
      <c r="H1155" t="n">
        <v>0.0621920161028387</v>
      </c>
      <c r="I1155" t="n">
        <v>0.0017177366266642</v>
      </c>
      <c r="J1155" t="n">
        <v>0.0135618490935524</v>
      </c>
      <c r="K1155" t="n">
        <v>0.6350021211751884</v>
      </c>
      <c r="L1155" t="b">
        <v>1</v>
      </c>
      <c r="M1155" t="b">
        <v>1</v>
      </c>
      <c r="N1155" t="inlineStr">
        <is>
          <t>alt</t>
        </is>
      </c>
      <c r="O1155" t="n">
        <v>70</v>
      </c>
      <c r="P1155" t="n">
        <v>0.00351</v>
      </c>
      <c r="Q1155" t="n">
        <v>75</v>
      </c>
      <c r="R1155" t="n">
        <v>0.0895</v>
      </c>
      <c r="S1155">
        <f>IMAGE("https://mitra.stanford.edu/kundaje/oak/projects/neuro-variants/variant_position/credible/roussos_2024/variant_figures/roussos_2024.adolescence.Astrocyte/rs10146921_count_position.png",4,220,900)</f>
        <v/>
      </c>
      <c r="T1155">
        <f>IMAGE("https://mitra.stanford.edu/kundaje/oak/projects/neuro-variants/variant_position/credible/roussos_2024/variant_figures/roussos_2024.adolescence.Astrocyte/rs10146921_profile_position.png",4,220,900)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-0.0016195531</v>
      </c>
      <c r="G1156" t="n">
        <v>0.4943737431831105</v>
      </c>
      <c r="H1156" t="n">
        <v>0.0141025732769437</v>
      </c>
      <c r="I1156" t="n">
        <v>0.3788071917101509</v>
      </c>
      <c r="J1156" t="n">
        <v>0.7764108536332077</v>
      </c>
      <c r="K1156" t="n">
        <v>0.0100263569058898</v>
      </c>
      <c r="L1156" t="b">
        <v>0</v>
      </c>
      <c r="M1156" t="b">
        <v>0</v>
      </c>
      <c r="N1156" t="inlineStr">
        <is>
          <t>ref</t>
        </is>
      </c>
      <c r="O1156" t="n">
        <v>-100</v>
      </c>
      <c r="P1156" t="n">
        <v>0.01578</v>
      </c>
      <c r="Q1156" t="n">
        <v>15</v>
      </c>
      <c r="R1156" t="n">
        <v>0.01538</v>
      </c>
      <c r="S1156">
        <f>IMAGE("https://mitra.stanford.edu/kundaje/oak/projects/neuro-variants/variant_position/credible/roussos_2024/variant_figures/roussos_2024.adolescence.Astrocyte/rs12587456_count_position.png",4,220,900)</f>
        <v/>
      </c>
      <c r="T1156">
        <f>IMAGE("https://mitra.stanford.edu/kundaje/oak/projects/neuro-variants/variant_position/credible/roussos_2024/variant_figures/roussos_2024.adolescence.Astrocyte/rs12587456_profile_position.png",4,220,900)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-0.060978613</v>
      </c>
      <c r="G1157" t="n">
        <v>0.1801756253760602</v>
      </c>
      <c r="H1157" t="n">
        <v>0.0114079742433249</v>
      </c>
      <c r="I1157" t="n">
        <v>0.6081300098383793</v>
      </c>
      <c r="J1157" t="n">
        <v>0.0278291250037088</v>
      </c>
      <c r="K1157" t="n">
        <v>0.5414834056187382</v>
      </c>
      <c r="L1157" t="b">
        <v>0</v>
      </c>
      <c r="M1157" t="b">
        <v>0</v>
      </c>
      <c r="N1157" t="inlineStr">
        <is>
          <t>ref</t>
        </is>
      </c>
      <c r="O1157" t="n">
        <v>100</v>
      </c>
      <c r="P1157" t="n">
        <v>0.00437</v>
      </c>
      <c r="Q1157" t="n">
        <v>-30</v>
      </c>
      <c r="R1157" t="n">
        <v>0.0382</v>
      </c>
      <c r="S1157">
        <f>IMAGE("https://mitra.stanford.edu/kundaje/oak/projects/neuro-variants/variant_position/credible/roussos_2024/variant_figures/roussos_2024.adolescence.Astrocyte/rs60652177_count_position.png",4,220,900)</f>
        <v/>
      </c>
      <c r="T1157">
        <f>IMAGE("https://mitra.stanford.edu/kundaje/oak/projects/neuro-variants/variant_position/credible/roussos_2024/variant_figures/roussos_2024.adolescence.Astrocyte/rs60652177_profile_position.png",4,220,900)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0.0334925019999999</v>
      </c>
      <c r="G1158" t="n">
        <v>0.3640962838972438</v>
      </c>
      <c r="H1158" t="n">
        <v>0.012209375166175</v>
      </c>
      <c r="I1158" t="n">
        <v>0.5327861755425639</v>
      </c>
      <c r="J1158" t="n">
        <v>0.0014301397501705</v>
      </c>
      <c r="K1158" t="n">
        <v>0.8482335853575821</v>
      </c>
      <c r="L1158" t="b">
        <v>0</v>
      </c>
      <c r="M1158" t="b">
        <v>0</v>
      </c>
      <c r="N1158" t="inlineStr">
        <is>
          <t>alt</t>
        </is>
      </c>
      <c r="O1158" t="n">
        <v>-20</v>
      </c>
      <c r="P1158" t="n">
        <v>0.002712</v>
      </c>
      <c r="Q1158" t="n">
        <v>30</v>
      </c>
      <c r="R1158" t="n">
        <v>0.05823</v>
      </c>
      <c r="S1158">
        <f>IMAGE("https://mitra.stanford.edu/kundaje/oak/projects/neuro-variants/variant_position/credible/roussos_2024/variant_figures/roussos_2024.adolescence.Astrocyte/rs10148671_count_position.png",4,220,900)</f>
        <v/>
      </c>
      <c r="T1158">
        <f>IMAGE("https://mitra.stanford.edu/kundaje/oak/projects/neuro-variants/variant_position/credible/roussos_2024/variant_figures/roussos_2024.adolescence.Astrocyte/rs10148671_profile_position.png",4,220,900)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-0.380113194</v>
      </c>
      <c r="G1159" t="n">
        <v>0.0031867071544379</v>
      </c>
      <c r="H1159" t="n">
        <v>0.0443009093015272</v>
      </c>
      <c r="I1159" t="n">
        <v>0.0068695326804362</v>
      </c>
      <c r="J1159" t="n">
        <v>0.0761801620033824</v>
      </c>
      <c r="K1159" t="n">
        <v>0.3670060829600264</v>
      </c>
      <c r="L1159" t="b">
        <v>1</v>
      </c>
      <c r="M1159" t="b">
        <v>1</v>
      </c>
      <c r="N1159" t="inlineStr">
        <is>
          <t>ref</t>
        </is>
      </c>
      <c r="O1159" t="n">
        <v>-75</v>
      </c>
      <c r="P1159" t="n">
        <v>0.00238</v>
      </c>
      <c r="Q1159" t="n">
        <v>30</v>
      </c>
      <c r="R1159" t="n">
        <v>0.10693</v>
      </c>
      <c r="S1159">
        <f>IMAGE("https://mitra.stanford.edu/kundaje/oak/projects/neuro-variants/variant_position/credible/roussos_2024/variant_figures/roussos_2024.adolescence.Astrocyte/rs1886456_count_position.png",4,220,900)</f>
        <v/>
      </c>
      <c r="T1159">
        <f>IMAGE("https://mitra.stanford.edu/kundaje/oak/projects/neuro-variants/variant_position/credible/roussos_2024/variant_figures/roussos_2024.adolescence.Astrocyte/rs1886456_profile_position.png",4,220,900)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0.104203178</v>
      </c>
      <c r="G1160" t="n">
        <v>0.0757763343771308</v>
      </c>
      <c r="H1160" t="n">
        <v>0.014683259658729</v>
      </c>
      <c r="I1160" t="n">
        <v>0.3428517592073516</v>
      </c>
      <c r="J1160" t="n">
        <v>0.0025086787526332</v>
      </c>
      <c r="K1160" t="n">
        <v>0.8099500491480959</v>
      </c>
      <c r="L1160" t="b">
        <v>0</v>
      </c>
      <c r="M1160" t="b">
        <v>0</v>
      </c>
      <c r="N1160" t="inlineStr">
        <is>
          <t>alt</t>
        </is>
      </c>
      <c r="O1160" t="n">
        <v>-100</v>
      </c>
      <c r="P1160" t="n">
        <v>0.014145</v>
      </c>
      <c r="Q1160" t="n">
        <v>55</v>
      </c>
      <c r="R1160" t="n">
        <v>0.0476</v>
      </c>
      <c r="S1160">
        <f>IMAGE("https://mitra.stanford.edu/kundaje/oak/projects/neuro-variants/variant_position/credible/roussos_2024/variant_figures/roussos_2024.adolescence.Astrocyte/rs12882564_count_position.png",4,220,900)</f>
        <v/>
      </c>
      <c r="T1160">
        <f>IMAGE("https://mitra.stanford.edu/kundaje/oak/projects/neuro-variants/variant_position/credible/roussos_2024/variant_figures/roussos_2024.adolescence.Astrocyte/rs12882564_profile_position.png",4,220,900)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0.00644526462</v>
      </c>
      <c r="G1161" t="n">
        <v>0.7394295071728706</v>
      </c>
      <c r="H1161" t="n">
        <v>0.0127176596933818</v>
      </c>
      <c r="I1161" t="n">
        <v>0.4859998412955856</v>
      </c>
      <c r="J1161" t="n">
        <v>0.0001157167017772</v>
      </c>
      <c r="K1161" t="n">
        <v>0.9798484314065598</v>
      </c>
      <c r="L1161" t="b">
        <v>0</v>
      </c>
      <c r="M1161" t="b">
        <v>0</v>
      </c>
      <c r="N1161" t="inlineStr">
        <is>
          <t>alt</t>
        </is>
      </c>
      <c r="O1161" t="n">
        <v>10</v>
      </c>
      <c r="P1161" t="n">
        <v>0.000801</v>
      </c>
      <c r="Q1161" t="n">
        <v>-85</v>
      </c>
      <c r="R1161" t="n">
        <v>0.1561</v>
      </c>
      <c r="S1161">
        <f>IMAGE("https://mitra.stanford.edu/kundaje/oak/projects/neuro-variants/variant_position/credible/roussos_2024/variant_figures/roussos_2024.adolescence.Astrocyte/rs1956235_count_position.png",4,220,900)</f>
        <v/>
      </c>
      <c r="T1161">
        <f>IMAGE("https://mitra.stanford.edu/kundaje/oak/projects/neuro-variants/variant_position/credible/roussos_2024/variant_figures/roussos_2024.adolescence.Astrocyte/rs1956235_profile_position.png",4,220,900)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-0.0229991755999999</v>
      </c>
      <c r="G1162" t="n">
        <v>0.5129079051896694</v>
      </c>
      <c r="H1162" t="n">
        <v>0.0293611437224567</v>
      </c>
      <c r="I1162" t="n">
        <v>0.0341119949988733</v>
      </c>
      <c r="J1162" t="n">
        <v>0.000994718571047</v>
      </c>
      <c r="K1162" t="n">
        <v>0.9041839621672224</v>
      </c>
      <c r="L1162" t="b">
        <v>0</v>
      </c>
      <c r="M1162" t="b">
        <v>0</v>
      </c>
      <c r="N1162" t="inlineStr">
        <is>
          <t>ref</t>
        </is>
      </c>
      <c r="O1162" t="n">
        <v>70</v>
      </c>
      <c r="P1162" t="n">
        <v>0.009769999999999999</v>
      </c>
      <c r="Q1162" t="n">
        <v>85</v>
      </c>
      <c r="R1162" t="n">
        <v>0.08594</v>
      </c>
      <c r="S1162">
        <f>IMAGE("https://mitra.stanford.edu/kundaje/oak/projects/neuro-variants/variant_position/credible/roussos_2024/variant_figures/roussos_2024.adolescence.Astrocyte/rs4636809_count_position.png",4,220,900)</f>
        <v/>
      </c>
      <c r="T1162">
        <f>IMAGE("https://mitra.stanford.edu/kundaje/oak/projects/neuro-variants/variant_position/credible/roussos_2024/variant_figures/roussos_2024.adolescence.Astrocyte/rs4636809_profile_position.png",4,220,900)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0.0250473896</v>
      </c>
      <c r="G1163" t="n">
        <v>0.4573132860416537</v>
      </c>
      <c r="H1163" t="n">
        <v>0.0205486758981018</v>
      </c>
      <c r="I1163" t="n">
        <v>0.1248485655311498</v>
      </c>
      <c r="J1163" t="n">
        <v>0.0563710945613149</v>
      </c>
      <c r="K1163" t="n">
        <v>0.4277503738446592</v>
      </c>
      <c r="L1163" t="b">
        <v>0</v>
      </c>
      <c r="M1163" t="b">
        <v>0</v>
      </c>
      <c r="N1163" t="inlineStr">
        <is>
          <t>alt</t>
        </is>
      </c>
      <c r="O1163" t="n">
        <v>90</v>
      </c>
      <c r="P1163" t="n">
        <v>0.00341</v>
      </c>
      <c r="Q1163" t="n">
        <v>-100</v>
      </c>
      <c r="R1163" t="n">
        <v>0.01428</v>
      </c>
      <c r="S1163">
        <f>IMAGE("https://mitra.stanford.edu/kundaje/oak/projects/neuro-variants/variant_position/credible/roussos_2024/variant_figures/roussos_2024.adolescence.Astrocyte/rs1191547_count_position.png",4,220,900)</f>
        <v/>
      </c>
      <c r="T1163">
        <f>IMAGE("https://mitra.stanford.edu/kundaje/oak/projects/neuro-variants/variant_position/credible/roussos_2024/variant_figures/roussos_2024.adolescence.Astrocyte/rs1191547_profile_position.png",4,220,900)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-0.0411563022</v>
      </c>
      <c r="G1164" t="n">
        <v>0.3269241104819006</v>
      </c>
      <c r="H1164" t="n">
        <v>0.0097070043246325</v>
      </c>
      <c r="I1164" t="n">
        <v>0.7696886771850079</v>
      </c>
      <c r="J1164" t="n">
        <v>0.0079926119336557</v>
      </c>
      <c r="K1164" t="n">
        <v>0.6832283837419668</v>
      </c>
      <c r="L1164" t="b">
        <v>0</v>
      </c>
      <c r="M1164" t="b">
        <v>0</v>
      </c>
      <c r="N1164" t="inlineStr">
        <is>
          <t>ref</t>
        </is>
      </c>
      <c r="O1164" t="n">
        <v>75</v>
      </c>
      <c r="P1164" t="n">
        <v>0.004406</v>
      </c>
      <c r="Q1164" t="n">
        <v>-100</v>
      </c>
      <c r="R1164" t="n">
        <v>0.2097</v>
      </c>
      <c r="S1164">
        <f>IMAGE("https://mitra.stanford.edu/kundaje/oak/projects/neuro-variants/variant_position/credible/roussos_2024/variant_figures/roussos_2024.adolescence.Astrocyte/rs3783301_count_position.png",4,220,900)</f>
        <v/>
      </c>
      <c r="T1164">
        <f>IMAGE("https://mitra.stanford.edu/kundaje/oak/projects/neuro-variants/variant_position/credible/roussos_2024/variant_figures/roussos_2024.adolescence.Astrocyte/rs3783301_profile_position.png",4,220,900)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0.0184541368</v>
      </c>
      <c r="G1165" t="n">
        <v>0.5668278890864384</v>
      </c>
      <c r="H1165" t="n">
        <v>0.0242451880220611</v>
      </c>
      <c r="I1165" t="n">
        <v>0.0701518244180817</v>
      </c>
      <c r="J1165" t="n">
        <v>0.0599434768418241</v>
      </c>
      <c r="K1165" t="n">
        <v>0.4178320366436846</v>
      </c>
      <c r="L1165" t="b">
        <v>0</v>
      </c>
      <c r="M1165" t="b">
        <v>0</v>
      </c>
      <c r="N1165" t="inlineStr">
        <is>
          <t>alt</t>
        </is>
      </c>
      <c r="O1165" t="n">
        <v>90</v>
      </c>
      <c r="P1165" t="n">
        <v>0.007797</v>
      </c>
      <c r="Q1165" t="n">
        <v>-100</v>
      </c>
      <c r="R1165" t="n">
        <v>0.113</v>
      </c>
      <c r="S1165">
        <f>IMAGE("https://mitra.stanford.edu/kundaje/oak/projects/neuro-variants/variant_position/credible/roussos_2024/variant_figures/roussos_2024.adolescence.Astrocyte/rs10149921_count_position.png",4,220,900)</f>
        <v/>
      </c>
      <c r="T1165">
        <f>IMAGE("https://mitra.stanford.edu/kundaje/oak/projects/neuro-variants/variant_position/credible/roussos_2024/variant_figures/roussos_2024.adolescence.Astrocyte/rs10149921_profile_position.png",4,220,900)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-0.01163322818</v>
      </c>
      <c r="G1166" t="n">
        <v>0.7192123953043749</v>
      </c>
      <c r="H1166" t="n">
        <v>0.0292184580948701</v>
      </c>
      <c r="I1166" t="n">
        <v>0.0346017815330053</v>
      </c>
      <c r="J1166" t="n">
        <v>0.0077559861139957</v>
      </c>
      <c r="K1166" t="n">
        <v>0.6912912670488693</v>
      </c>
      <c r="L1166" t="b">
        <v>0</v>
      </c>
      <c r="M1166" t="b">
        <v>0</v>
      </c>
      <c r="N1166" t="inlineStr">
        <is>
          <t>ref</t>
        </is>
      </c>
      <c r="O1166" t="n">
        <v>65</v>
      </c>
      <c r="P1166" t="n">
        <v>0.00263</v>
      </c>
      <c r="Q1166" t="n">
        <v>-90</v>
      </c>
      <c r="R1166" t="n">
        <v>0.08136</v>
      </c>
      <c r="S1166">
        <f>IMAGE("https://mitra.stanford.edu/kundaje/oak/projects/neuro-variants/variant_position/credible/roussos_2024/variant_figures/roussos_2024.adolescence.Astrocyte/rs7158984_count_position.png",4,220,900)</f>
        <v/>
      </c>
      <c r="T1166">
        <f>IMAGE("https://mitra.stanford.edu/kundaje/oak/projects/neuro-variants/variant_position/credible/roussos_2024/variant_figures/roussos_2024.adolescence.Astrocyte/rs7158984_profile_position.png",4,220,900)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-0.21959526</v>
      </c>
      <c r="G1167" t="n">
        <v>0.0155840140523158</v>
      </c>
      <c r="H1167" t="n">
        <v>0.035636445017885</v>
      </c>
      <c r="I1167" t="n">
        <v>0.016175274084684</v>
      </c>
      <c r="J1167" t="n">
        <v>0.0268388570750377</v>
      </c>
      <c r="K1167" t="n">
        <v>0.5269800302586785</v>
      </c>
      <c r="L1167" t="b">
        <v>1</v>
      </c>
      <c r="M1167" t="b">
        <v>0</v>
      </c>
      <c r="N1167" t="inlineStr">
        <is>
          <t>ref</t>
        </is>
      </c>
      <c r="O1167" t="n">
        <v>100</v>
      </c>
      <c r="P1167" t="n">
        <v>0.0449</v>
      </c>
      <c r="Q1167" t="n">
        <v>-45</v>
      </c>
      <c r="R1167" t="n">
        <v>0.1559</v>
      </c>
      <c r="S1167">
        <f>IMAGE("https://mitra.stanford.edu/kundaje/oak/projects/neuro-variants/variant_position/credible/roussos_2024/variant_figures/roussos_2024.adolescence.Astrocyte/rs10150918_count_position.png",4,220,900)</f>
        <v/>
      </c>
      <c r="T1167">
        <f>IMAGE("https://mitra.stanford.edu/kundaje/oak/projects/neuro-variants/variant_position/credible/roussos_2024/variant_figures/roussos_2024.adolescence.Astrocyte/rs10150918_profile_position.png",4,220,900)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0.09502969659999989</v>
      </c>
      <c r="G1168" t="n">
        <v>0.09719151572625449</v>
      </c>
      <c r="H1168" t="n">
        <v>0.02216020399261</v>
      </c>
      <c r="I1168" t="n">
        <v>0.0969515793158318</v>
      </c>
      <c r="J1168" t="n">
        <v>0.2110361095451443</v>
      </c>
      <c r="K1168" t="n">
        <v>0.1956185795631673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0.0692</v>
      </c>
      <c r="Q1168" t="n">
        <v>100</v>
      </c>
      <c r="R1168" t="n">
        <v>1.143</v>
      </c>
      <c r="S1168">
        <f>IMAGE("https://mitra.stanford.edu/kundaje/oak/projects/neuro-variants/variant_position/credible/roussos_2024/variant_figures/roussos_2024.adolescence.Astrocyte/rs959388_count_position.png",4,220,900)</f>
        <v/>
      </c>
      <c r="T1168">
        <f>IMAGE("https://mitra.stanford.edu/kundaje/oak/projects/neuro-variants/variant_position/credible/roussos_2024/variant_figures/roussos_2024.adolescence.Astrocyte/rs959388_profile_position.png",4,220,900)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-0.0069750349599999</v>
      </c>
      <c r="G1169" t="n">
        <v>0.70382869052801</v>
      </c>
      <c r="H1169" t="n">
        <v>0.0267144954287532</v>
      </c>
      <c r="I1169" t="n">
        <v>0.0490371793840524</v>
      </c>
      <c r="J1169" t="n">
        <v>0.0090585407827196</v>
      </c>
      <c r="K1169" t="n">
        <v>0.6872038418033618</v>
      </c>
      <c r="L1169" t="b">
        <v>0</v>
      </c>
      <c r="M1169" t="b">
        <v>0</v>
      </c>
      <c r="N1169" t="inlineStr">
        <is>
          <t>ref</t>
        </is>
      </c>
      <c r="O1169" t="n">
        <v>100</v>
      </c>
      <c r="P1169" t="n">
        <v>0.003597</v>
      </c>
      <c r="Q1169" t="n">
        <v>100</v>
      </c>
      <c r="R1169" t="n">
        <v>0.08185000000000001</v>
      </c>
      <c r="S1169">
        <f>IMAGE("https://mitra.stanford.edu/kundaje/oak/projects/neuro-variants/variant_position/credible/roussos_2024/variant_figures/roussos_2024.adolescence.Astrocyte/rs7140901_count_position.png",4,220,900)</f>
        <v/>
      </c>
      <c r="T1169">
        <f>IMAGE("https://mitra.stanford.edu/kundaje/oak/projects/neuro-variants/variant_position/credible/roussos_2024/variant_figures/roussos_2024.adolescence.Astrocyte/rs7140901_profile_position.png",4,220,900)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0.06794494799999989</v>
      </c>
      <c r="G1170" t="n">
        <v>0.1860533124409914</v>
      </c>
      <c r="H1170" t="n">
        <v>0.0264471409396488</v>
      </c>
      <c r="I1170" t="n">
        <v>0.0509550122857439</v>
      </c>
      <c r="J1170" t="n">
        <v>0.0040181882918434</v>
      </c>
      <c r="K1170" t="n">
        <v>0.7614960437429396</v>
      </c>
      <c r="L1170" t="b">
        <v>0</v>
      </c>
      <c r="M1170" t="b">
        <v>0</v>
      </c>
      <c r="N1170" t="inlineStr">
        <is>
          <t>alt</t>
        </is>
      </c>
      <c r="O1170" t="n">
        <v>-85</v>
      </c>
      <c r="P1170" t="n">
        <v>0.01175</v>
      </c>
      <c r="Q1170" t="n">
        <v>70</v>
      </c>
      <c r="R1170" t="n">
        <v>0.05353</v>
      </c>
      <c r="S1170">
        <f>IMAGE("https://mitra.stanford.edu/kundaje/oak/projects/neuro-variants/variant_position/credible/roussos_2024/variant_figures/roussos_2024.adolescence.Astrocyte/rs17440692_count_position.png",4,220,900)</f>
        <v/>
      </c>
      <c r="T1170">
        <f>IMAGE("https://mitra.stanford.edu/kundaje/oak/projects/neuro-variants/variant_position/credible/roussos_2024/variant_figures/roussos_2024.adolescence.Astrocyte/rs17440692_profile_position.png",4,220,900)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0.0171336465</v>
      </c>
      <c r="G1171" t="n">
        <v>0.5858549574663217</v>
      </c>
      <c r="H1171" t="n">
        <v>0.0249607585482711</v>
      </c>
      <c r="I1171" t="n">
        <v>0.06332589338954039</v>
      </c>
      <c r="J1171" t="n">
        <v>0.00072100406492</v>
      </c>
      <c r="K1171" t="n">
        <v>0.919071905578386</v>
      </c>
      <c r="L1171" t="b">
        <v>0</v>
      </c>
      <c r="M1171" t="b">
        <v>0</v>
      </c>
      <c r="N1171" t="inlineStr">
        <is>
          <t>alt</t>
        </is>
      </c>
      <c r="O1171" t="n">
        <v>80</v>
      </c>
      <c r="P1171" t="n">
        <v>0.012726</v>
      </c>
      <c r="Q1171" t="n">
        <v>100</v>
      </c>
      <c r="R1171" t="n">
        <v>0.323</v>
      </c>
      <c r="S1171">
        <f>IMAGE("https://mitra.stanford.edu/kundaje/oak/projects/neuro-variants/variant_position/credible/roussos_2024/variant_figures/roussos_2024.adolescence.Astrocyte/rs73266980_count_position.png",4,220,900)</f>
        <v/>
      </c>
      <c r="T1171">
        <f>IMAGE("https://mitra.stanford.edu/kundaje/oak/projects/neuro-variants/variant_position/credible/roussos_2024/variant_figures/roussos_2024.adolescence.Astrocyte/rs73266980_profile_position.png",4,220,900)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-0.01560887106</v>
      </c>
      <c r="G1172" t="n">
        <v>0.6378751749535292</v>
      </c>
      <c r="H1172" t="n">
        <v>0.0308104961671465</v>
      </c>
      <c r="I1172" t="n">
        <v>0.0280834289319253</v>
      </c>
      <c r="J1172" t="n">
        <v>0.0062160638518825</v>
      </c>
      <c r="K1172" t="n">
        <v>0.7178539953732676</v>
      </c>
      <c r="L1172" t="b">
        <v>0</v>
      </c>
      <c r="M1172" t="b">
        <v>0</v>
      </c>
      <c r="N1172" t="inlineStr">
        <is>
          <t>ref</t>
        </is>
      </c>
      <c r="O1172" t="n">
        <v>-20</v>
      </c>
      <c r="P1172" t="n">
        <v>0.003235</v>
      </c>
      <c r="Q1172" t="n">
        <v>-60</v>
      </c>
      <c r="R1172" t="n">
        <v>0.04962</v>
      </c>
      <c r="S1172">
        <f>IMAGE("https://mitra.stanford.edu/kundaje/oak/projects/neuro-variants/variant_position/credible/roussos_2024/variant_figures/roussos_2024.adolescence.Astrocyte/rs12882859_count_position.png",4,220,900)</f>
        <v/>
      </c>
      <c r="T1172">
        <f>IMAGE("https://mitra.stanford.edu/kundaje/oak/projects/neuro-variants/variant_position/credible/roussos_2024/variant_figures/roussos_2024.adolescence.Astrocyte/rs12882859_profile_position.png",4,220,900)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0.1673564287999999</v>
      </c>
      <c r="G1173" t="n">
        <v>0.0269100430204983</v>
      </c>
      <c r="H1173" t="n">
        <v>0.0199595092301943</v>
      </c>
      <c r="I1173" t="n">
        <v>0.1383575867842205</v>
      </c>
      <c r="J1173" t="n">
        <v>0.4855487642049668</v>
      </c>
      <c r="K1173" t="n">
        <v>0.0603358445523176</v>
      </c>
      <c r="L1173" t="b">
        <v>0</v>
      </c>
      <c r="M1173" t="b">
        <v>0</v>
      </c>
      <c r="N1173" t="inlineStr">
        <is>
          <t>alt</t>
        </is>
      </c>
      <c r="O1173" t="n">
        <v>95</v>
      </c>
      <c r="P1173" t="n">
        <v>0.00563</v>
      </c>
      <c r="Q1173" t="n">
        <v>95</v>
      </c>
      <c r="R1173" t="n">
        <v>0.2041</v>
      </c>
      <c r="S1173">
        <f>IMAGE("https://mitra.stanford.edu/kundaje/oak/projects/neuro-variants/variant_position/credible/roussos_2024/variant_figures/roussos_2024.adolescence.Astrocyte/rs12894833_count_position.png",4,220,900)</f>
        <v/>
      </c>
      <c r="T1173">
        <f>IMAGE("https://mitra.stanford.edu/kundaje/oak/projects/neuro-variants/variant_position/credible/roussos_2024/variant_figures/roussos_2024.adolescence.Astrocyte/rs12894833_profile_position.png",4,220,900)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0.00464264026</v>
      </c>
      <c r="G1174" t="n">
        <v>0.8244906865188738</v>
      </c>
      <c r="H1174" t="n">
        <v>0.0138809747534572</v>
      </c>
      <c r="I1174" t="n">
        <v>0.3965481517539705</v>
      </c>
      <c r="J1174" t="n">
        <v>0.2642887873483072</v>
      </c>
      <c r="K1174" t="n">
        <v>0.15500504324677</v>
      </c>
      <c r="L1174" t="b">
        <v>0</v>
      </c>
      <c r="M1174" t="b">
        <v>0</v>
      </c>
      <c r="N1174" t="inlineStr">
        <is>
          <t>alt</t>
        </is>
      </c>
      <c r="O1174" t="n">
        <v>-100</v>
      </c>
      <c r="P1174" t="n">
        <v>0.0502</v>
      </c>
      <c r="Q1174" t="n">
        <v>-100</v>
      </c>
      <c r="R1174" t="n">
        <v>0.4717</v>
      </c>
      <c r="S1174">
        <f>IMAGE("https://mitra.stanford.edu/kundaje/oak/projects/neuro-variants/variant_position/credible/roussos_2024/variant_figures/roussos_2024.adolescence.Astrocyte/rs12896446_count_position.png",4,220,900)</f>
        <v/>
      </c>
      <c r="T1174">
        <f>IMAGE("https://mitra.stanford.edu/kundaje/oak/projects/neuro-variants/variant_position/credible/roussos_2024/variant_figures/roussos_2024.adolescence.Astrocyte/rs12896446_profile_position.png",4,220,900)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-0.00661179472</v>
      </c>
      <c r="G1175" t="n">
        <v>0.768897895321782</v>
      </c>
      <c r="H1175" t="n">
        <v>0.0251296383363357</v>
      </c>
      <c r="I1175" t="n">
        <v>0.0618286626015799</v>
      </c>
      <c r="J1175" t="n">
        <v>0.0030954217725424</v>
      </c>
      <c r="K1175" t="n">
        <v>0.7855096997883743</v>
      </c>
      <c r="L1175" t="b">
        <v>0</v>
      </c>
      <c r="M1175" t="b">
        <v>0</v>
      </c>
      <c r="N1175" t="inlineStr">
        <is>
          <t>ref</t>
        </is>
      </c>
      <c r="O1175" t="n">
        <v>-5</v>
      </c>
      <c r="P1175" t="n">
        <v>0.001774</v>
      </c>
      <c r="Q1175" t="n">
        <v>-70</v>
      </c>
      <c r="R1175" t="n">
        <v>0.05142</v>
      </c>
      <c r="S1175">
        <f>IMAGE("https://mitra.stanford.edu/kundaje/oak/projects/neuro-variants/variant_position/credible/roussos_2024/variant_figures/roussos_2024.adolescence.Astrocyte/rs7140259_count_position.png",4,220,900)</f>
        <v/>
      </c>
      <c r="T1175">
        <f>IMAGE("https://mitra.stanford.edu/kundaje/oak/projects/neuro-variants/variant_position/credible/roussos_2024/variant_figures/roussos_2024.adolescence.Astrocyte/rs7140259_profile_position.png",4,220,900)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-0.0764857384</v>
      </c>
      <c r="G1176" t="n">
        <v>0.1330457376387109</v>
      </c>
      <c r="H1176" t="n">
        <v>0.028933974789049</v>
      </c>
      <c r="I1176" t="n">
        <v>0.0362892630851925</v>
      </c>
      <c r="J1176" t="n">
        <v>0.00389802094769</v>
      </c>
      <c r="K1176" t="n">
        <v>0.7668110757813873</v>
      </c>
      <c r="L1176" t="b">
        <v>0</v>
      </c>
      <c r="M1176" t="b">
        <v>0</v>
      </c>
      <c r="N1176" t="inlineStr">
        <is>
          <t>ref</t>
        </is>
      </c>
      <c r="O1176" t="n">
        <v>40</v>
      </c>
      <c r="P1176" t="n">
        <v>0.0372</v>
      </c>
      <c r="Q1176" t="n">
        <v>55</v>
      </c>
      <c r="R1176" t="n">
        <v>0.0481</v>
      </c>
      <c r="S1176">
        <f>IMAGE("https://mitra.stanford.edu/kundaje/oak/projects/neuro-variants/variant_position/credible/roussos_2024/variant_figures/roussos_2024.adolescence.Astrocyte/rs7161135_count_position.png",4,220,900)</f>
        <v/>
      </c>
      <c r="T1176">
        <f>IMAGE("https://mitra.stanford.edu/kundaje/oak/projects/neuro-variants/variant_position/credible/roussos_2024/variant_figures/roussos_2024.adolescence.Astrocyte/rs7161135_profile_position.png",4,220,900)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0.000595079008</v>
      </c>
      <c r="G1177" t="n">
        <v>0.897420173531455</v>
      </c>
      <c r="H1177" t="n">
        <v>0.0101219572992069</v>
      </c>
      <c r="I1177" t="n">
        <v>0.7524810770705144</v>
      </c>
      <c r="J1177" t="n">
        <v>0.0002640714476455</v>
      </c>
      <c r="K1177" t="n">
        <v>0.9469666310105735</v>
      </c>
      <c r="L1177" t="b">
        <v>0</v>
      </c>
      <c r="M1177" t="b">
        <v>0</v>
      </c>
      <c r="N1177" t="inlineStr">
        <is>
          <t>alt</t>
        </is>
      </c>
      <c r="O1177" t="n">
        <v>95</v>
      </c>
      <c r="P1177" t="n">
        <v>0.01357</v>
      </c>
      <c r="Q1177" t="n">
        <v>100</v>
      </c>
      <c r="R1177" t="n">
        <v>0.1287</v>
      </c>
      <c r="S1177">
        <f>IMAGE("https://mitra.stanford.edu/kundaje/oak/projects/neuro-variants/variant_position/credible/roussos_2024/variant_figures/roussos_2024.adolescence.Astrocyte/rs12434588_count_position.png",4,220,900)</f>
        <v/>
      </c>
      <c r="T1177">
        <f>IMAGE("https://mitra.stanford.edu/kundaje/oak/projects/neuro-variants/variant_position/credible/roussos_2024/variant_figures/roussos_2024.adolescence.Astrocyte/rs12434588_profile_position.png",4,220,900)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-0.0632227866</v>
      </c>
      <c r="G1178" t="n">
        <v>0.1325026897310537</v>
      </c>
      <c r="H1178" t="n">
        <v>0.0218065527066867</v>
      </c>
      <c r="I1178" t="n">
        <v>0.1086000391634416</v>
      </c>
      <c r="J1178" t="n">
        <v>0.091123193780969</v>
      </c>
      <c r="K1178" t="n">
        <v>0.3407504456568265</v>
      </c>
      <c r="L1178" t="b">
        <v>0</v>
      </c>
      <c r="M1178" t="b">
        <v>0</v>
      </c>
      <c r="N1178" t="inlineStr">
        <is>
          <t>ref</t>
        </is>
      </c>
      <c r="O1178" t="n">
        <v>-55</v>
      </c>
      <c r="P1178" t="n">
        <v>0.01611</v>
      </c>
      <c r="Q1178" t="n">
        <v>-65</v>
      </c>
      <c r="R1178" t="n">
        <v>0.11426</v>
      </c>
      <c r="S1178">
        <f>IMAGE("https://mitra.stanford.edu/kundaje/oak/projects/neuro-variants/variant_position/credible/roussos_2024/variant_figures/roussos_2024.adolescence.Astrocyte/rs12887688_count_position.png",4,220,900)</f>
        <v/>
      </c>
      <c r="T1178">
        <f>IMAGE("https://mitra.stanford.edu/kundaje/oak/projects/neuro-variants/variant_position/credible/roussos_2024/variant_figures/roussos_2024.adolescence.Astrocyte/rs12887688_profile_position.png",4,220,900)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-0.176649656</v>
      </c>
      <c r="G1179" t="n">
        <v>0.0292359934829021</v>
      </c>
      <c r="H1179" t="n">
        <v>0.0278365978764191</v>
      </c>
      <c r="I1179" t="n">
        <v>0.0448931132669946</v>
      </c>
      <c r="J1179" t="n">
        <v>0.0082551998338426</v>
      </c>
      <c r="K1179" t="n">
        <v>0.6984206106908835</v>
      </c>
      <c r="L1179" t="b">
        <v>0</v>
      </c>
      <c r="M1179" t="b">
        <v>0</v>
      </c>
      <c r="N1179" t="inlineStr">
        <is>
          <t>ref</t>
        </is>
      </c>
      <c r="O1179" t="n">
        <v>-75</v>
      </c>
      <c r="P1179" t="n">
        <v>0.006073</v>
      </c>
      <c r="Q1179" t="n">
        <v>-75</v>
      </c>
      <c r="R1179" t="n">
        <v>0.05298</v>
      </c>
      <c r="S1179">
        <f>IMAGE("https://mitra.stanford.edu/kundaje/oak/projects/neuro-variants/variant_position/credible/roussos_2024/variant_figures/roussos_2024.adolescence.Astrocyte/rs10133628_count_position.png",4,220,900)</f>
        <v/>
      </c>
      <c r="T1179">
        <f>IMAGE("https://mitra.stanford.edu/kundaje/oak/projects/neuro-variants/variant_position/credible/roussos_2024/variant_figures/roussos_2024.adolescence.Astrocyte/rs10133628_profile_position.png",4,220,900)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-0.00023189526</v>
      </c>
      <c r="G1180" t="n">
        <v>0.8275828662742676</v>
      </c>
      <c r="H1180" t="n">
        <v>0.0199009337462075</v>
      </c>
      <c r="I1180" t="n">
        <v>0.1387940982301815</v>
      </c>
      <c r="J1180" t="n">
        <v>0.0015644007951813</v>
      </c>
      <c r="K1180" t="n">
        <v>0.8626326844384062</v>
      </c>
      <c r="L1180" t="b">
        <v>0</v>
      </c>
      <c r="M1180" t="b">
        <v>0</v>
      </c>
      <c r="N1180" t="inlineStr">
        <is>
          <t>ref</t>
        </is>
      </c>
      <c r="O1180" t="n">
        <v>-85</v>
      </c>
      <c r="P1180" t="n">
        <v>0.04663</v>
      </c>
      <c r="Q1180" t="n">
        <v>100</v>
      </c>
      <c r="R1180" t="n">
        <v>0.0795</v>
      </c>
      <c r="S1180">
        <f>IMAGE("https://mitra.stanford.edu/kundaje/oak/projects/neuro-variants/variant_position/credible/roussos_2024/variant_figures/roussos_2024.adolescence.Astrocyte/rs72474105_count_position.png",4,220,900)</f>
        <v/>
      </c>
      <c r="T1180">
        <f>IMAGE("https://mitra.stanford.edu/kundaje/oak/projects/neuro-variants/variant_position/credible/roussos_2024/variant_figures/roussos_2024.adolescence.Astrocyte/rs72474105_profile_position.png",4,220,900)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-0.082024049</v>
      </c>
      <c r="G1181" t="n">
        <v>0.1159253604512447</v>
      </c>
      <c r="H1181" t="n">
        <v>0.0242754624290559</v>
      </c>
      <c r="I1181" t="n">
        <v>0.07063248540751151</v>
      </c>
      <c r="J1181" t="n">
        <v>0.281308043794321</v>
      </c>
      <c r="K1181" t="n">
        <v>0.1446947409607487</v>
      </c>
      <c r="L1181" t="b">
        <v>0</v>
      </c>
      <c r="M1181" t="b">
        <v>0</v>
      </c>
      <c r="N1181" t="inlineStr">
        <is>
          <t>ref</t>
        </is>
      </c>
      <c r="O1181" t="n">
        <v>-100</v>
      </c>
      <c r="P1181" t="n">
        <v>0.04028</v>
      </c>
      <c r="Q1181" t="n">
        <v>-100</v>
      </c>
      <c r="R1181" t="n">
        <v>0.369</v>
      </c>
      <c r="S1181">
        <f>IMAGE("https://mitra.stanford.edu/kundaje/oak/projects/neuro-variants/variant_position/credible/roussos_2024/variant_figures/roussos_2024.adolescence.Astrocyte/rs61985092_count_position.png",4,220,900)</f>
        <v/>
      </c>
      <c r="T1181">
        <f>IMAGE("https://mitra.stanford.edu/kundaje/oak/projects/neuro-variants/variant_position/credible/roussos_2024/variant_figures/roussos_2024.adolescence.Astrocyte/rs61985092_profile_position.png",4,220,900)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0.038140991</v>
      </c>
      <c r="G1182" t="n">
        <v>0.3200090037789517</v>
      </c>
      <c r="H1182" t="n">
        <v>0.0092930699030095</v>
      </c>
      <c r="I1182" t="n">
        <v>0.8275665525235847</v>
      </c>
      <c r="J1182" t="n">
        <v>0.1112623505325935</v>
      </c>
      <c r="K1182" t="n">
        <v>0.3018382021049246</v>
      </c>
      <c r="L1182" t="b">
        <v>0</v>
      </c>
      <c r="M1182" t="b">
        <v>0</v>
      </c>
      <c r="N1182" t="inlineStr">
        <is>
          <t>alt</t>
        </is>
      </c>
      <c r="O1182" t="n">
        <v>-100</v>
      </c>
      <c r="P1182" t="n">
        <v>0.03552</v>
      </c>
      <c r="Q1182" t="n">
        <v>85</v>
      </c>
      <c r="R1182" t="n">
        <v>0.0862</v>
      </c>
      <c r="S1182">
        <f>IMAGE("https://mitra.stanford.edu/kundaje/oak/projects/neuro-variants/variant_position/credible/roussos_2024/variant_figures/roussos_2024.adolescence.Astrocyte/rs75682793_count_position.png",4,220,900)</f>
        <v/>
      </c>
      <c r="T1182">
        <f>IMAGE("https://mitra.stanford.edu/kundaje/oak/projects/neuro-variants/variant_position/credible/roussos_2024/variant_figures/roussos_2024.adolescence.Astrocyte/rs75682793_profile_position.png",4,220,900)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0.0021293346</v>
      </c>
      <c r="G1183" t="n">
        <v>0.7760720282278278</v>
      </c>
      <c r="H1183" t="n">
        <v>0.0058415286173001</v>
      </c>
      <c r="I1183" t="n">
        <v>0.9954281890718618</v>
      </c>
      <c r="J1183" t="n">
        <v>0.0064652998249413</v>
      </c>
      <c r="K1183" t="n">
        <v>0.7193463534395764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0.02753</v>
      </c>
      <c r="Q1183" t="n">
        <v>40</v>
      </c>
      <c r="R1183" t="n">
        <v>0.03558</v>
      </c>
      <c r="S1183">
        <f>IMAGE("https://mitra.stanford.edu/kundaje/oak/projects/neuro-variants/variant_position/credible/roussos_2024/variant_figures/roussos_2024.adolescence.Astrocyte/rs112261101_count_position.png",4,220,900)</f>
        <v/>
      </c>
      <c r="T1183">
        <f>IMAGE("https://mitra.stanford.edu/kundaje/oak/projects/neuro-variants/variant_position/credible/roussos_2024/variant_figures/roussos_2024.adolescence.Astrocyte/rs112261101_profile_position.png",4,220,900)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-0.0021835009</v>
      </c>
      <c r="G1184" t="n">
        <v>0.9091380552583604</v>
      </c>
      <c r="H1184" t="n">
        <v>0.009774727662004601</v>
      </c>
      <c r="I1184" t="n">
        <v>0.7808408397631711</v>
      </c>
      <c r="J1184" t="n">
        <v>0.0007224876123786</v>
      </c>
      <c r="K1184" t="n">
        <v>0.9031009011337716</v>
      </c>
      <c r="L1184" t="b">
        <v>0</v>
      </c>
      <c r="M1184" t="b">
        <v>0</v>
      </c>
      <c r="N1184" t="inlineStr">
        <is>
          <t>ref</t>
        </is>
      </c>
      <c r="O1184" t="n">
        <v>-50</v>
      </c>
      <c r="P1184" t="n">
        <v>0.02406</v>
      </c>
      <c r="Q1184" t="n">
        <v>-100</v>
      </c>
      <c r="R1184" t="n">
        <v>0.2437</v>
      </c>
      <c r="S1184">
        <f>IMAGE("https://mitra.stanford.edu/kundaje/oak/projects/neuro-variants/variant_position/credible/roussos_2024/variant_figures/roussos_2024.adolescence.Astrocyte/rs113869004_count_position.png",4,220,900)</f>
        <v/>
      </c>
      <c r="T1184">
        <f>IMAGE("https://mitra.stanford.edu/kundaje/oak/projects/neuro-variants/variant_position/credible/roussos_2024/variant_figures/roussos_2024.adolescence.Astrocyte/rs113869004_profile_position.png",4,220,900)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-0.0486132708</v>
      </c>
      <c r="G1185" t="n">
        <v>0.2615115382513183</v>
      </c>
      <c r="H1185" t="n">
        <v>0.0101695730539666</v>
      </c>
      <c r="I1185" t="n">
        <v>0.7260629967076193</v>
      </c>
      <c r="J1185" t="n">
        <v>0.1452007239711598</v>
      </c>
      <c r="K1185" t="n">
        <v>0.2648891103455009</v>
      </c>
      <c r="L1185" t="b">
        <v>0</v>
      </c>
      <c r="M1185" t="b">
        <v>0</v>
      </c>
      <c r="N1185" t="inlineStr">
        <is>
          <t>ref</t>
        </is>
      </c>
      <c r="O1185" t="n">
        <v>-70</v>
      </c>
      <c r="P1185" t="n">
        <v>0.005127</v>
      </c>
      <c r="Q1185" t="n">
        <v>-65</v>
      </c>
      <c r="R1185" t="n">
        <v>0.0542</v>
      </c>
      <c r="S1185">
        <f>IMAGE("https://mitra.stanford.edu/kundaje/oak/projects/neuro-variants/variant_position/credible/roussos_2024/variant_figures/roussos_2024.adolescence.Astrocyte/rs111476301_count_position.png",4,220,900)</f>
        <v/>
      </c>
      <c r="T1185">
        <f>IMAGE("https://mitra.stanford.edu/kundaje/oak/projects/neuro-variants/variant_position/credible/roussos_2024/variant_figures/roussos_2024.adolescence.Astrocyte/rs111476301_profile_position.png",4,220,900)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-0.06807328579999999</v>
      </c>
      <c r="G1186" t="n">
        <v>0.1599288422451404</v>
      </c>
      <c r="H1186" t="n">
        <v>0.0133688185833466</v>
      </c>
      <c r="I1186" t="n">
        <v>0.4388641451316845</v>
      </c>
      <c r="J1186" t="n">
        <v>0.0014093700857489</v>
      </c>
      <c r="K1186" t="n">
        <v>0.850776513189447</v>
      </c>
      <c r="L1186" t="b">
        <v>0</v>
      </c>
      <c r="M1186" t="b">
        <v>0</v>
      </c>
      <c r="N1186" t="inlineStr">
        <is>
          <t>ref</t>
        </is>
      </c>
      <c r="O1186" t="n">
        <v>-75</v>
      </c>
      <c r="P1186" t="n">
        <v>0.009865000000000001</v>
      </c>
      <c r="Q1186" t="n">
        <v>55</v>
      </c>
      <c r="R1186" t="n">
        <v>0.07587000000000001</v>
      </c>
      <c r="S1186">
        <f>IMAGE("https://mitra.stanford.edu/kundaje/oak/projects/neuro-variants/variant_position/credible/roussos_2024/variant_figures/roussos_2024.adolescence.Astrocyte/rs1046701_count_position.png",4,220,900)</f>
        <v/>
      </c>
      <c r="T1186">
        <f>IMAGE("https://mitra.stanford.edu/kundaje/oak/projects/neuro-variants/variant_position/credible/roussos_2024/variant_figures/roussos_2024.adolescence.Astrocyte/rs1046701_profile_position.png",4,220,900)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0.0304510744799999</v>
      </c>
      <c r="G1187" t="n">
        <v>0.4153423980412638</v>
      </c>
      <c r="H1187" t="n">
        <v>0.0116759038290384</v>
      </c>
      <c r="I1187" t="n">
        <v>0.5811518824082147</v>
      </c>
      <c r="J1187" t="n">
        <v>0.0128282348752336</v>
      </c>
      <c r="K1187" t="n">
        <v>0.6347671284330134</v>
      </c>
      <c r="L1187" t="b">
        <v>0</v>
      </c>
      <c r="M1187" t="b">
        <v>0</v>
      </c>
      <c r="N1187" t="inlineStr">
        <is>
          <t>alt</t>
        </is>
      </c>
      <c r="O1187" t="n">
        <v>60</v>
      </c>
      <c r="P1187" t="n">
        <v>0.00391</v>
      </c>
      <c r="Q1187" t="n">
        <v>70</v>
      </c>
      <c r="R1187" t="n">
        <v>0.0906</v>
      </c>
      <c r="S1187">
        <f>IMAGE("https://mitra.stanford.edu/kundaje/oak/projects/neuro-variants/variant_position/credible/roussos_2024/variant_figures/roussos_2024.adolescence.Astrocyte/rs1253099_count_position.png",4,220,900)</f>
        <v/>
      </c>
      <c r="T1187">
        <f>IMAGE("https://mitra.stanford.edu/kundaje/oak/projects/neuro-variants/variant_position/credible/roussos_2024/variant_figures/roussos_2024.adolescence.Astrocyte/rs1253099_profile_position.png",4,220,900)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0.00300352024</v>
      </c>
      <c r="G1188" t="n">
        <v>0.6865879522415717</v>
      </c>
      <c r="H1188" t="n">
        <v>0.0111295663413397</v>
      </c>
      <c r="I1188" t="n">
        <v>0.6475953667783672</v>
      </c>
      <c r="J1188" t="n">
        <v>0.0139631486811262</v>
      </c>
      <c r="K1188" t="n">
        <v>0.6320567700708167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0.005768</v>
      </c>
      <c r="Q1188" t="n">
        <v>-70</v>
      </c>
      <c r="R1188" t="n">
        <v>0.0906</v>
      </c>
      <c r="S1188">
        <f>IMAGE("https://mitra.stanford.edu/kundaje/oak/projects/neuro-variants/variant_position/credible/roussos_2024/variant_figures/roussos_2024.adolescence.Astrocyte/rs1253102_count_position.png",4,220,900)</f>
        <v/>
      </c>
      <c r="T1188">
        <f>IMAGE("https://mitra.stanford.edu/kundaje/oak/projects/neuro-variants/variant_position/credible/roussos_2024/variant_figures/roussos_2024.adolescence.Astrocyte/rs1253102_profile_position.png",4,220,900)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-0.0338784982</v>
      </c>
      <c r="G1189" t="n">
        <v>0.3778065774120651</v>
      </c>
      <c r="H1189" t="n">
        <v>0.0202717610096936</v>
      </c>
      <c r="I1189" t="n">
        <v>0.1334412375504625</v>
      </c>
      <c r="J1189" t="n">
        <v>0.000699492626769</v>
      </c>
      <c r="K1189" t="n">
        <v>0.9012863062693266</v>
      </c>
      <c r="L1189" t="b">
        <v>0</v>
      </c>
      <c r="M1189" t="b">
        <v>0</v>
      </c>
      <c r="N1189" t="inlineStr">
        <is>
          <t>ref</t>
        </is>
      </c>
      <c r="O1189" t="n">
        <v>-75</v>
      </c>
      <c r="P1189" t="n">
        <v>0.01413</v>
      </c>
      <c r="Q1189" t="n">
        <v>-15</v>
      </c>
      <c r="R1189" t="n">
        <v>0.02582</v>
      </c>
      <c r="S1189">
        <f>IMAGE("https://mitra.stanford.edu/kundaje/oak/projects/neuro-variants/variant_position/credible/roussos_2024/variant_figures/roussos_2024.adolescence.Astrocyte/rs111758996_count_position.png",4,220,900)</f>
        <v/>
      </c>
      <c r="T1189">
        <f>IMAGE("https://mitra.stanford.edu/kundaje/oak/projects/neuro-variants/variant_position/credible/roussos_2024/variant_figures/roussos_2024.adolescence.Astrocyte/rs111758996_profile_position.png",4,220,900)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0.0070776642</v>
      </c>
      <c r="G1190" t="n">
        <v>0.8082902160149548</v>
      </c>
      <c r="H1190" t="n">
        <v>0.0359141440544055</v>
      </c>
      <c r="I1190" t="n">
        <v>0.0151455070465618</v>
      </c>
      <c r="J1190" t="n">
        <v>0.0056767943506512</v>
      </c>
      <c r="K1190" t="n">
        <v>0.7252752144425403</v>
      </c>
      <c r="L1190" t="b">
        <v>0</v>
      </c>
      <c r="M1190" t="b">
        <v>0</v>
      </c>
      <c r="N1190" t="inlineStr">
        <is>
          <t>alt</t>
        </is>
      </c>
      <c r="O1190" t="n">
        <v>-75</v>
      </c>
      <c r="P1190" t="n">
        <v>0.0887</v>
      </c>
      <c r="Q1190" t="n">
        <v>-95</v>
      </c>
      <c r="R1190" t="n">
        <v>0.06226</v>
      </c>
      <c r="S1190">
        <f>IMAGE("https://mitra.stanford.edu/kundaje/oak/projects/neuro-variants/variant_position/credible/roussos_2024/variant_figures/roussos_2024.adolescence.Astrocyte/rs2526886_count_position.png",4,220,900)</f>
        <v/>
      </c>
      <c r="T1190">
        <f>IMAGE("https://mitra.stanford.edu/kundaje/oak/projects/neuro-variants/variant_position/credible/roussos_2024/variant_figures/roussos_2024.adolescence.Astrocyte/rs2526886_profile_position.png",4,220,900)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-0.0097021004</v>
      </c>
      <c r="G1191" t="n">
        <v>0.752117870933418</v>
      </c>
      <c r="H1191" t="n">
        <v>0.0228644955471431</v>
      </c>
      <c r="I1191" t="n">
        <v>0.0868868608332861</v>
      </c>
      <c r="J1191" t="n">
        <v>0.001476871495119</v>
      </c>
      <c r="K1191" t="n">
        <v>0.8460515728499589</v>
      </c>
      <c r="L1191" t="b">
        <v>0</v>
      </c>
      <c r="M1191" t="b">
        <v>0</v>
      </c>
      <c r="N1191" t="inlineStr">
        <is>
          <t>ref</t>
        </is>
      </c>
      <c r="O1191" t="n">
        <v>95</v>
      </c>
      <c r="P1191" t="n">
        <v>0.001686</v>
      </c>
      <c r="Q1191" t="n">
        <v>-100</v>
      </c>
      <c r="R1191" t="n">
        <v>0.1775</v>
      </c>
      <c r="S1191">
        <f>IMAGE("https://mitra.stanford.edu/kundaje/oak/projects/neuro-variants/variant_position/credible/roussos_2024/variant_figures/roussos_2024.adolescence.Astrocyte/rs2810073_count_position.png",4,220,900)</f>
        <v/>
      </c>
      <c r="T1191">
        <f>IMAGE("https://mitra.stanford.edu/kundaje/oak/projects/neuro-variants/variant_position/credible/roussos_2024/variant_figures/roussos_2024.adolescence.Astrocyte/rs2810073_profile_position.png",4,220,900)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0.0047630649999999</v>
      </c>
      <c r="G1192" t="n">
        <v>0.8131874652626915</v>
      </c>
      <c r="H1192" t="n">
        <v>0.0243983572463209</v>
      </c>
      <c r="I1192" t="n">
        <v>0.0692613300748402</v>
      </c>
      <c r="J1192" t="n">
        <v>0.0004228110257246</v>
      </c>
      <c r="K1192" t="n">
        <v>0.9306373384851122</v>
      </c>
      <c r="L1192" t="b">
        <v>0</v>
      </c>
      <c r="M1192" t="b">
        <v>0</v>
      </c>
      <c r="N1192" t="inlineStr">
        <is>
          <t>alt</t>
        </is>
      </c>
      <c r="O1192" t="n">
        <v>-100</v>
      </c>
      <c r="P1192" t="n">
        <v>0.007607</v>
      </c>
      <c r="Q1192" t="n">
        <v>-100</v>
      </c>
      <c r="R1192" t="n">
        <v>0.05817</v>
      </c>
      <c r="S1192">
        <f>IMAGE("https://mitra.stanford.edu/kundaje/oak/projects/neuro-variants/variant_position/credible/roussos_2024/variant_figures/roussos_2024.adolescence.Astrocyte/rs2189806_count_position.png",4,220,900)</f>
        <v/>
      </c>
      <c r="T1192">
        <f>IMAGE("https://mitra.stanford.edu/kundaje/oak/projects/neuro-variants/variant_position/credible/roussos_2024/variant_figures/roussos_2024.adolescence.Astrocyte/rs2189806_profile_position.png",4,220,900)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0.0840029814</v>
      </c>
      <c r="G1193" t="n">
        <v>0.1133198461428289</v>
      </c>
      <c r="H1193" t="n">
        <v>0.0154809052936179</v>
      </c>
      <c r="I1193" t="n">
        <v>0.3029376675881534</v>
      </c>
      <c r="J1193" t="n">
        <v>2.818740171498086e-05</v>
      </c>
      <c r="K1193" t="n">
        <v>0.9981223184843304</v>
      </c>
      <c r="L1193" t="b">
        <v>0</v>
      </c>
      <c r="M1193" t="b">
        <v>0</v>
      </c>
      <c r="N1193" t="inlineStr">
        <is>
          <t>alt</t>
        </is>
      </c>
      <c r="O1193" t="n">
        <v>100</v>
      </c>
      <c r="P1193" t="n">
        <v>0.00235</v>
      </c>
      <c r="Q1193" t="n">
        <v>85</v>
      </c>
      <c r="R1193" t="n">
        <v>0.1128</v>
      </c>
      <c r="S1193">
        <f>IMAGE("https://mitra.stanford.edu/kundaje/oak/projects/neuro-variants/variant_position/credible/roussos_2024/variant_figures/roussos_2024.adolescence.Astrocyte/rs2332477_count_position.png",4,220,900)</f>
        <v/>
      </c>
      <c r="T1193">
        <f>IMAGE("https://mitra.stanford.edu/kundaje/oak/projects/neuro-variants/variant_position/credible/roussos_2024/variant_figures/roussos_2024.adolescence.Astrocyte/rs2332477_profile_position.png",4,220,900)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0.0979594546</v>
      </c>
      <c r="G1194" t="n">
        <v>0.0863657263055089</v>
      </c>
      <c r="H1194" t="n">
        <v>0.0127027622808772</v>
      </c>
      <c r="I1194" t="n">
        <v>0.4740305790668287</v>
      </c>
      <c r="J1194" t="n">
        <v>0.0002232738925317</v>
      </c>
      <c r="K1194" t="n">
        <v>0.9613310896633196</v>
      </c>
      <c r="L1194" t="b">
        <v>0</v>
      </c>
      <c r="M1194" t="b">
        <v>0</v>
      </c>
      <c r="N1194" t="inlineStr">
        <is>
          <t>alt</t>
        </is>
      </c>
      <c r="O1194" t="n">
        <v>-70</v>
      </c>
      <c r="P1194" t="n">
        <v>0.001051</v>
      </c>
      <c r="Q1194" t="n">
        <v>100</v>
      </c>
      <c r="R1194" t="n">
        <v>0.1888</v>
      </c>
      <c r="S1194">
        <f>IMAGE("https://mitra.stanford.edu/kundaje/oak/projects/neuro-variants/variant_position/credible/roussos_2024/variant_figures/roussos_2024.adolescence.Astrocyte/rs2097866_count_position.png",4,220,900)</f>
        <v/>
      </c>
      <c r="T1194">
        <f>IMAGE("https://mitra.stanford.edu/kundaje/oak/projects/neuro-variants/variant_position/credible/roussos_2024/variant_figures/roussos_2024.adolescence.Astrocyte/rs2097866_profile_position.png",4,220,900)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-0.334844798</v>
      </c>
      <c r="G1195" t="n">
        <v>0.005039277663491</v>
      </c>
      <c r="H1195" t="n">
        <v>0.039526474923965</v>
      </c>
      <c r="I1195" t="n">
        <v>0.0105427472966702</v>
      </c>
      <c r="J1195" t="n">
        <v>0.1012320861644363</v>
      </c>
      <c r="K1195" t="n">
        <v>0.3187546928315966</v>
      </c>
      <c r="L1195" t="b">
        <v>1</v>
      </c>
      <c r="M1195" t="b">
        <v>1</v>
      </c>
      <c r="N1195" t="inlineStr">
        <is>
          <t>ref</t>
        </is>
      </c>
      <c r="O1195" t="n">
        <v>-50</v>
      </c>
      <c r="P1195" t="n">
        <v>0.01141</v>
      </c>
      <c r="Q1195" t="n">
        <v>-55</v>
      </c>
      <c r="R1195" t="n">
        <v>0.1372</v>
      </c>
      <c r="S1195">
        <f>IMAGE("https://mitra.stanford.edu/kundaje/oak/projects/neuro-variants/variant_position/credible/roussos_2024/variant_figures/roussos_2024.adolescence.Astrocyte/rs2526860_count_position.png",4,220,900)</f>
        <v/>
      </c>
      <c r="T1195">
        <f>IMAGE("https://mitra.stanford.edu/kundaje/oak/projects/neuro-variants/variant_position/credible/roussos_2024/variant_figures/roussos_2024.adolescence.Astrocyte/rs2526860_profile_position.png",4,220,900)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0.04145577532</v>
      </c>
      <c r="G1196" t="n">
        <v>0.3578013091963521</v>
      </c>
      <c r="H1196" t="n">
        <v>0.01061961344909</v>
      </c>
      <c r="I1196" t="n">
        <v>0.6980215880252643</v>
      </c>
      <c r="J1196" t="n">
        <v>0.2684219505681987</v>
      </c>
      <c r="K1196" t="n">
        <v>0.1518853211766427</v>
      </c>
      <c r="L1196" t="b">
        <v>0</v>
      </c>
      <c r="M1196" t="b">
        <v>0</v>
      </c>
      <c r="N1196" t="inlineStr">
        <is>
          <t>alt</t>
        </is>
      </c>
      <c r="O1196" t="n">
        <v>-20</v>
      </c>
      <c r="P1196" t="n">
        <v>0.03845</v>
      </c>
      <c r="Q1196" t="n">
        <v>-100</v>
      </c>
      <c r="R1196" t="n">
        <v>0.07006999999999999</v>
      </c>
      <c r="S1196">
        <f>IMAGE("https://mitra.stanford.edu/kundaje/oak/projects/neuro-variants/variant_position/credible/roussos_2024/variant_figures/roussos_2024.adolescence.Astrocyte/rs7157250_count_position.png",4,220,900)</f>
        <v/>
      </c>
      <c r="T1196">
        <f>IMAGE("https://mitra.stanford.edu/kundaje/oak/projects/neuro-variants/variant_position/credible/roussos_2024/variant_figures/roussos_2024.adolescence.Astrocyte/rs7157250_profile_position.png",4,220,900)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-0.02175188538</v>
      </c>
      <c r="G1197" t="n">
        <v>0.5218484670962067</v>
      </c>
      <c r="H1197" t="n">
        <v>0.0337851385766191</v>
      </c>
      <c r="I1197" t="n">
        <v>0.0193943975878586</v>
      </c>
      <c r="J1197" t="n">
        <v>0.006888110850666</v>
      </c>
      <c r="K1197" t="n">
        <v>0.7144055285720123</v>
      </c>
      <c r="L1197" t="b">
        <v>0</v>
      </c>
      <c r="M1197" t="b">
        <v>0</v>
      </c>
      <c r="N1197" t="inlineStr">
        <is>
          <t>ref</t>
        </is>
      </c>
      <c r="O1197" t="n">
        <v>-100</v>
      </c>
      <c r="P1197" t="n">
        <v>0.00717</v>
      </c>
      <c r="Q1197" t="n">
        <v>-95</v>
      </c>
      <c r="R1197" t="n">
        <v>0.10187</v>
      </c>
      <c r="S1197">
        <f>IMAGE("https://mitra.stanford.edu/kundaje/oak/projects/neuro-variants/variant_position/credible/roussos_2024/variant_figures/roussos_2024.adolescence.Astrocyte/rs67981189_count_position.png",4,220,900)</f>
        <v/>
      </c>
      <c r="T1197">
        <f>IMAGE("https://mitra.stanford.edu/kundaje/oak/projects/neuro-variants/variant_position/credible/roussos_2024/variant_figures/roussos_2024.adolescence.Astrocyte/rs67981189_profile_position.png",4,220,900)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0.0620878362</v>
      </c>
      <c r="G1198" t="n">
        <v>0.1740638250563657</v>
      </c>
      <c r="H1198" t="n">
        <v>0.012485757715235</v>
      </c>
      <c r="I1198" t="n">
        <v>0.5103851229236026</v>
      </c>
      <c r="J1198" t="n">
        <v>0.0035798000178025</v>
      </c>
      <c r="K1198" t="n">
        <v>0.7736597392039903</v>
      </c>
      <c r="L1198" t="b">
        <v>0</v>
      </c>
      <c r="M1198" t="b">
        <v>0</v>
      </c>
      <c r="N1198" t="inlineStr">
        <is>
          <t>alt</t>
        </is>
      </c>
      <c r="O1198" t="n">
        <v>-70</v>
      </c>
      <c r="P1198" t="n">
        <v>0.0311</v>
      </c>
      <c r="Q1198" t="n">
        <v>-100</v>
      </c>
      <c r="R1198" t="n">
        <v>0.2272</v>
      </c>
      <c r="S1198">
        <f>IMAGE("https://mitra.stanford.edu/kundaje/oak/projects/neuro-variants/variant_position/credible/roussos_2024/variant_figures/roussos_2024.adolescence.Astrocyte/rs7146932_count_position.png",4,220,900)</f>
        <v/>
      </c>
      <c r="T1198">
        <f>IMAGE("https://mitra.stanford.edu/kundaje/oak/projects/neuro-variants/variant_position/credible/roussos_2024/variant_figures/roussos_2024.adolescence.Astrocyte/rs7146932_profile_position.png",4,220,900)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0.00324181126</v>
      </c>
      <c r="G1199" t="n">
        <v>0.7554278351126676</v>
      </c>
      <c r="H1199" t="n">
        <v>0.0205329965711129</v>
      </c>
      <c r="I1199" t="n">
        <v>0.1263008923404867</v>
      </c>
      <c r="J1199" t="n">
        <v>0.0004346794053941</v>
      </c>
      <c r="K1199" t="n">
        <v>0.9249223906586244</v>
      </c>
      <c r="L1199" t="b">
        <v>0</v>
      </c>
      <c r="M1199" t="b">
        <v>0</v>
      </c>
      <c r="N1199" t="inlineStr">
        <is>
          <t>alt</t>
        </is>
      </c>
      <c r="O1199" t="n">
        <v>95</v>
      </c>
      <c r="P1199" t="n">
        <v>0.01021</v>
      </c>
      <c r="Q1199" t="n">
        <v>55</v>
      </c>
      <c r="R1199" t="n">
        <v>0.07679999999999999</v>
      </c>
      <c r="S1199">
        <f>IMAGE("https://mitra.stanford.edu/kundaje/oak/projects/neuro-variants/variant_position/credible/roussos_2024/variant_figures/roussos_2024.adolescence.Astrocyte/rs34488204_count_position.png",4,220,900)</f>
        <v/>
      </c>
      <c r="T1199">
        <f>IMAGE("https://mitra.stanford.edu/kundaje/oak/projects/neuro-variants/variant_position/credible/roussos_2024/variant_figures/roussos_2024.adolescence.Astrocyte/rs34488204_profile_position.png",4,220,900)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-0.0197349016</v>
      </c>
      <c r="G1200" t="n">
        <v>0.5507612304075492</v>
      </c>
      <c r="H1200" t="n">
        <v>0.027538326483335</v>
      </c>
      <c r="I1200" t="n">
        <v>0.04371057465613</v>
      </c>
      <c r="J1200" t="n">
        <v>0.0019775687624246</v>
      </c>
      <c r="K1200" t="n">
        <v>0.8333915020986252</v>
      </c>
      <c r="L1200" t="b">
        <v>0</v>
      </c>
      <c r="M1200" t="b">
        <v>0</v>
      </c>
      <c r="N1200" t="inlineStr">
        <is>
          <t>ref</t>
        </is>
      </c>
      <c r="O1200" t="n">
        <v>100</v>
      </c>
      <c r="P1200" t="n">
        <v>0.02641</v>
      </c>
      <c r="Q1200" t="n">
        <v>85</v>
      </c>
      <c r="R1200" t="n">
        <v>0.04578</v>
      </c>
      <c r="S1200">
        <f>IMAGE("https://mitra.stanford.edu/kundaje/oak/projects/neuro-variants/variant_position/credible/roussos_2024/variant_figures/roussos_2024.adolescence.Astrocyte/rs3814869_count_position.png",4,220,900)</f>
        <v/>
      </c>
      <c r="T1200">
        <f>IMAGE("https://mitra.stanford.edu/kundaje/oak/projects/neuro-variants/variant_position/credible/roussos_2024/variant_figures/roussos_2024.adolescence.Astrocyte/rs3814869_profile_position.png",4,220,900)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-0.01585070288</v>
      </c>
      <c r="G1201" t="n">
        <v>0.6436284795282298</v>
      </c>
      <c r="H1201" t="n">
        <v>0.0116639677002483</v>
      </c>
      <c r="I1201" t="n">
        <v>0.5833567952560331</v>
      </c>
      <c r="J1201" t="n">
        <v>0.009233599382844199</v>
      </c>
      <c r="K1201" t="n">
        <v>0.6819160809614996</v>
      </c>
      <c r="L1201" t="b">
        <v>0</v>
      </c>
      <c r="M1201" t="b">
        <v>0</v>
      </c>
      <c r="N1201" t="inlineStr">
        <is>
          <t>ref</t>
        </is>
      </c>
      <c r="O1201" t="n">
        <v>45</v>
      </c>
      <c r="P1201" t="n">
        <v>0.006622</v>
      </c>
      <c r="Q1201" t="n">
        <v>45</v>
      </c>
      <c r="R1201" t="n">
        <v>0.101</v>
      </c>
      <c r="S1201">
        <f>IMAGE("https://mitra.stanford.edu/kundaje/oak/projects/neuro-variants/variant_position/credible/roussos_2024/variant_figures/roussos_2024.adolescence.Astrocyte/rs4048474_count_position.png",4,220,900)</f>
        <v/>
      </c>
      <c r="T1201">
        <f>IMAGE("https://mitra.stanford.edu/kundaje/oak/projects/neuro-variants/variant_position/credible/roussos_2024/variant_figures/roussos_2024.adolescence.Astrocyte/rs4048474_profile_position.png",4,220,900)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-0.0300659393999999</v>
      </c>
      <c r="G1202" t="n">
        <v>0.4150484572036437</v>
      </c>
      <c r="H1202" t="n">
        <v>0.0293050321711008</v>
      </c>
      <c r="I1202" t="n">
        <v>0.0343283097619385</v>
      </c>
      <c r="J1202" t="n">
        <v>0.0773469720796367</v>
      </c>
      <c r="K1202" t="n">
        <v>0.3768088468583969</v>
      </c>
      <c r="L1202" t="b">
        <v>0</v>
      </c>
      <c r="M1202" t="b">
        <v>0</v>
      </c>
      <c r="N1202" t="inlineStr">
        <is>
          <t>ref</t>
        </is>
      </c>
      <c r="O1202" t="n">
        <v>-85</v>
      </c>
      <c r="P1202" t="n">
        <v>0.00222</v>
      </c>
      <c r="Q1202" t="n">
        <v>-25</v>
      </c>
      <c r="R1202" t="n">
        <v>0.02948</v>
      </c>
      <c r="S1202">
        <f>IMAGE("https://mitra.stanford.edu/kundaje/oak/projects/neuro-variants/variant_position/credible/roussos_2024/variant_figures/roussos_2024.adolescence.Astrocyte/rs221923_count_position.png",4,220,900)</f>
        <v/>
      </c>
      <c r="T1202">
        <f>IMAGE("https://mitra.stanford.edu/kundaje/oak/projects/neuro-variants/variant_position/credible/roussos_2024/variant_figures/roussos_2024.adolescence.Astrocyte/rs221923_profile_position.png",4,220,900)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0.0211249146</v>
      </c>
      <c r="G1203" t="n">
        <v>0.5265641768073409</v>
      </c>
      <c r="H1203" t="n">
        <v>0.0078382479056344</v>
      </c>
      <c r="I1203" t="n">
        <v>0.9392022663281988</v>
      </c>
      <c r="J1203" t="n">
        <v>0.001203156988992</v>
      </c>
      <c r="K1203" t="n">
        <v>0.8733727910858896</v>
      </c>
      <c r="L1203" t="b">
        <v>0</v>
      </c>
      <c r="M1203" t="b">
        <v>0</v>
      </c>
      <c r="N1203" t="inlineStr">
        <is>
          <t>alt</t>
        </is>
      </c>
      <c r="O1203" t="n">
        <v>-80</v>
      </c>
      <c r="P1203" t="n">
        <v>0.02348</v>
      </c>
      <c r="Q1203" t="n">
        <v>-100</v>
      </c>
      <c r="R1203" t="n">
        <v>0.16</v>
      </c>
      <c r="S1203">
        <f>IMAGE("https://mitra.stanford.edu/kundaje/oak/projects/neuro-variants/variant_position/credible/roussos_2024/variant_figures/roussos_2024.adolescence.Astrocyte/rs75982415_count_position.png",4,220,900)</f>
        <v/>
      </c>
      <c r="T1203">
        <f>IMAGE("https://mitra.stanford.edu/kundaje/oak/projects/neuro-variants/variant_position/credible/roussos_2024/variant_figures/roussos_2024.adolescence.Astrocyte/rs75982415_profile_position.png",4,220,900)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-0.056764539</v>
      </c>
      <c r="G1204" t="n">
        <v>0.1958827322120894</v>
      </c>
      <c r="H1204" t="n">
        <v>0.0129595536832757</v>
      </c>
      <c r="I1204" t="n">
        <v>0.467491925224041</v>
      </c>
      <c r="J1204" t="n">
        <v>0.0433752188232501</v>
      </c>
      <c r="K1204" t="n">
        <v>0.4798554110954541</v>
      </c>
      <c r="L1204" t="b">
        <v>0</v>
      </c>
      <c r="M1204" t="b">
        <v>0</v>
      </c>
      <c r="N1204" t="inlineStr">
        <is>
          <t>ref</t>
        </is>
      </c>
      <c r="O1204" t="n">
        <v>80</v>
      </c>
      <c r="P1204" t="n">
        <v>0.0009384</v>
      </c>
      <c r="Q1204" t="n">
        <v>100</v>
      </c>
      <c r="R1204" t="n">
        <v>0.2861</v>
      </c>
      <c r="S1204">
        <f>IMAGE("https://mitra.stanford.edu/kundaje/oak/projects/neuro-variants/variant_position/credible/roussos_2024/variant_figures/roussos_2024.adolescence.Astrocyte/rs142859468_count_position.png",4,220,900)</f>
        <v/>
      </c>
      <c r="T1204">
        <f>IMAGE("https://mitra.stanford.edu/kundaje/oak/projects/neuro-variants/variant_position/credible/roussos_2024/variant_figures/roussos_2024.adolescence.Astrocyte/rs142859468_profile_position.png",4,220,900)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-0.07164695359999999</v>
      </c>
      <c r="G1205" t="n">
        <v>0.1418229932012762</v>
      </c>
      <c r="H1205" t="n">
        <v>0.0121255602993711</v>
      </c>
      <c r="I1205" t="n">
        <v>0.5483980290039646</v>
      </c>
      <c r="J1205" t="n">
        <v>0.0116102424116547</v>
      </c>
      <c r="K1205" t="n">
        <v>0.6556640038256782</v>
      </c>
      <c r="L1205" t="b">
        <v>0</v>
      </c>
      <c r="M1205" t="b">
        <v>0</v>
      </c>
      <c r="N1205" t="inlineStr">
        <is>
          <t>ref</t>
        </is>
      </c>
      <c r="O1205" t="n">
        <v>-45</v>
      </c>
      <c r="P1205" t="n">
        <v>0.001087</v>
      </c>
      <c r="Q1205" t="n">
        <v>90</v>
      </c>
      <c r="R1205" t="n">
        <v>0.163</v>
      </c>
      <c r="S1205">
        <f>IMAGE("https://mitra.stanford.edu/kundaje/oak/projects/neuro-variants/variant_position/credible/roussos_2024/variant_figures/roussos_2024.adolescence.Astrocyte/rs57923981_count_position.png",4,220,900)</f>
        <v/>
      </c>
      <c r="T1205">
        <f>IMAGE("https://mitra.stanford.edu/kundaje/oak/projects/neuro-variants/variant_position/credible/roussos_2024/variant_figures/roussos_2024.adolescence.Astrocyte/rs57923981_profile_position.png",4,220,900)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-0.078699805</v>
      </c>
      <c r="G1206" t="n">
        <v>0.183241777025221</v>
      </c>
      <c r="H1206" t="n">
        <v>0.0216265676599306</v>
      </c>
      <c r="I1206" t="n">
        <v>0.1255212462050069</v>
      </c>
      <c r="J1206" t="n">
        <v>0.0043846245141381</v>
      </c>
      <c r="K1206" t="n">
        <v>0.7627901229649084</v>
      </c>
      <c r="L1206" t="b">
        <v>0</v>
      </c>
      <c r="M1206" t="b">
        <v>0</v>
      </c>
      <c r="N1206" t="inlineStr">
        <is>
          <t>ref</t>
        </is>
      </c>
      <c r="O1206" t="n">
        <v>-45</v>
      </c>
      <c r="P1206" t="n">
        <v>0.001457</v>
      </c>
      <c r="Q1206" t="n">
        <v>-100</v>
      </c>
      <c r="R1206" t="n">
        <v>0.1592</v>
      </c>
      <c r="S1206">
        <f>IMAGE("https://mitra.stanford.edu/kundaje/oak/projects/neuro-variants/variant_position/credible/roussos_2024/variant_figures/roussos_2024.adolescence.Astrocyte/rs723966_count_position.png",4,220,900)</f>
        <v/>
      </c>
      <c r="T1206">
        <f>IMAGE("https://mitra.stanford.edu/kundaje/oak/projects/neuro-variants/variant_position/credible/roussos_2024/variant_figures/roussos_2024.adolescence.Astrocyte/rs723966_profile_position.png",4,220,900)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0.14538725</v>
      </c>
      <c r="G1207" t="n">
        <v>0.0389387866713685</v>
      </c>
      <c r="H1207" t="n">
        <v>0.0229550987596388</v>
      </c>
      <c r="I1207" t="n">
        <v>0.0951143425987836</v>
      </c>
      <c r="J1207" t="n">
        <v>0.4617756579532979</v>
      </c>
      <c r="K1207" t="n">
        <v>0.06732858918712049</v>
      </c>
      <c r="L1207" t="b">
        <v>0</v>
      </c>
      <c r="M1207" t="b">
        <v>0</v>
      </c>
      <c r="N1207" t="inlineStr">
        <is>
          <t>alt</t>
        </is>
      </c>
      <c r="O1207" t="n">
        <v>100</v>
      </c>
      <c r="P1207" t="n">
        <v>0.02107</v>
      </c>
      <c r="Q1207" t="n">
        <v>25</v>
      </c>
      <c r="R1207" t="n">
        <v>0.08105</v>
      </c>
      <c r="S1207">
        <f>IMAGE("https://mitra.stanford.edu/kundaje/oak/projects/neuro-variants/variant_position/credible/roussos_2024/variant_figures/roussos_2024.adolescence.Astrocyte/rs61991204_count_position.png",4,220,900)</f>
        <v/>
      </c>
      <c r="T1207">
        <f>IMAGE("https://mitra.stanford.edu/kundaje/oak/projects/neuro-variants/variant_position/credible/roussos_2024/variant_figures/roussos_2024.adolescence.Astrocyte/rs61991204_profile_position.png",4,220,900)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-0.047206206</v>
      </c>
      <c r="G1208" t="n">
        <v>0.2666741921900702</v>
      </c>
      <c r="H1208" t="n">
        <v>0.0135423371820046</v>
      </c>
      <c r="I1208" t="n">
        <v>0.4119514350578598</v>
      </c>
      <c r="J1208" t="n">
        <v>0.0103877993056997</v>
      </c>
      <c r="K1208" t="n">
        <v>0.6582029567121973</v>
      </c>
      <c r="L1208" t="b">
        <v>0</v>
      </c>
      <c r="M1208" t="b">
        <v>0</v>
      </c>
      <c r="N1208" t="inlineStr">
        <is>
          <t>ref</t>
        </is>
      </c>
      <c r="O1208" t="n">
        <v>-15</v>
      </c>
      <c r="P1208" t="n">
        <v>0.001127</v>
      </c>
      <c r="Q1208" t="n">
        <v>-20</v>
      </c>
      <c r="R1208" t="n">
        <v>0.05405</v>
      </c>
      <c r="S1208">
        <f>IMAGE("https://mitra.stanford.edu/kundaje/oak/projects/neuro-variants/variant_position/credible/roussos_2024/variant_figures/roussos_2024.adolescence.Astrocyte/rs78053899_count_position.png",4,220,900)</f>
        <v/>
      </c>
      <c r="T1208">
        <f>IMAGE("https://mitra.stanford.edu/kundaje/oak/projects/neuro-variants/variant_position/credible/roussos_2024/variant_figures/roussos_2024.adolescence.Astrocyte/rs78053899_profile_position.png",4,220,900)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-0.0529170222</v>
      </c>
      <c r="G1209" t="n">
        <v>0.2264577461159079</v>
      </c>
      <c r="H1209" t="n">
        <v>0.0187713370908748</v>
      </c>
      <c r="I1209" t="n">
        <v>0.1708319850441334</v>
      </c>
      <c r="J1209" t="n">
        <v>0.007902115538676001</v>
      </c>
      <c r="K1209" t="n">
        <v>0.6942225002836088</v>
      </c>
      <c r="L1209" t="b">
        <v>0</v>
      </c>
      <c r="M1209" t="b">
        <v>0</v>
      </c>
      <c r="N1209" t="inlineStr">
        <is>
          <t>ref</t>
        </is>
      </c>
      <c r="O1209" t="n">
        <v>75</v>
      </c>
      <c r="P1209" t="n">
        <v>0.02187</v>
      </c>
      <c r="Q1209" t="n">
        <v>65</v>
      </c>
      <c r="R1209" t="n">
        <v>0.1234</v>
      </c>
      <c r="S1209">
        <f>IMAGE("https://mitra.stanford.edu/kundaje/oak/projects/neuro-variants/variant_position/credible/roussos_2024/variant_figures/roussos_2024.adolescence.Astrocyte/rs1990241_count_position.png",4,220,900)</f>
        <v/>
      </c>
      <c r="T1209">
        <f>IMAGE("https://mitra.stanford.edu/kundaje/oak/projects/neuro-variants/variant_position/credible/roussos_2024/variant_figures/roussos_2024.adolescence.Astrocyte/rs1990241_profile_position.png",4,220,900)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-0.1150970893999999</v>
      </c>
      <c r="G1210" t="n">
        <v>0.0702183645489344</v>
      </c>
      <c r="H1210" t="n">
        <v>0.0161962295827416</v>
      </c>
      <c r="I1210" t="n">
        <v>0.2650021201515707</v>
      </c>
      <c r="J1210" t="n">
        <v>0.0103462599768566</v>
      </c>
      <c r="K1210" t="n">
        <v>0.656755848272993</v>
      </c>
      <c r="L1210" t="b">
        <v>0</v>
      </c>
      <c r="M1210" t="b">
        <v>0</v>
      </c>
      <c r="N1210" t="inlineStr">
        <is>
          <t>ref</t>
        </is>
      </c>
      <c r="O1210" t="n">
        <v>-30</v>
      </c>
      <c r="P1210" t="n">
        <v>0.003784</v>
      </c>
      <c r="Q1210" t="n">
        <v>50</v>
      </c>
      <c r="R1210" t="n">
        <v>0.0289</v>
      </c>
      <c r="S1210">
        <f>IMAGE("https://mitra.stanford.edu/kundaje/oak/projects/neuro-variants/variant_position/credible/roussos_2024/variant_figures/roussos_2024.adolescence.Astrocyte/rs34873919_count_position.png",4,220,900)</f>
        <v/>
      </c>
      <c r="T1210">
        <f>IMAGE("https://mitra.stanford.edu/kundaje/oak/projects/neuro-variants/variant_position/credible/roussos_2024/variant_figures/roussos_2024.adolescence.Astrocyte/rs34873919_profile_position.png",4,220,900)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0.002065013726</v>
      </c>
      <c r="G1211" t="n">
        <v>0.8285911200643091</v>
      </c>
      <c r="H1211" t="n">
        <v>0.0298858540287076</v>
      </c>
      <c r="I1211" t="n">
        <v>0.0315727515507742</v>
      </c>
      <c r="J1211" t="n">
        <v>0.0222064801352994</v>
      </c>
      <c r="K1211" t="n">
        <v>0.5628284599536018</v>
      </c>
      <c r="L1211" t="b">
        <v>0</v>
      </c>
      <c r="M1211" t="b">
        <v>0</v>
      </c>
      <c r="N1211" t="inlineStr">
        <is>
          <t>alt</t>
        </is>
      </c>
      <c r="O1211" t="n">
        <v>80</v>
      </c>
      <c r="P1211" t="n">
        <v>0.0339</v>
      </c>
      <c r="Q1211" t="n">
        <v>100</v>
      </c>
      <c r="R1211" t="n">
        <v>0.2913</v>
      </c>
      <c r="S1211">
        <f>IMAGE("https://mitra.stanford.edu/kundaje/oak/projects/neuro-variants/variant_position/credible/roussos_2024/variant_figures/roussos_2024.adolescence.Astrocyte/rs80173099_count_position.png",4,220,900)</f>
        <v/>
      </c>
      <c r="T1211">
        <f>IMAGE("https://mitra.stanford.edu/kundaje/oak/projects/neuro-variants/variant_position/credible/roussos_2024/variant_figures/roussos_2024.adolescence.Astrocyte/rs80173099_profile_position.png",4,220,900)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-0.0146358376999999</v>
      </c>
      <c r="G1212" t="n">
        <v>0.6540645474150505</v>
      </c>
      <c r="H1212" t="n">
        <v>0.0296323402148578</v>
      </c>
      <c r="I1212" t="n">
        <v>0.033115507823984</v>
      </c>
      <c r="J1212" t="n">
        <v>0.0007165534225439</v>
      </c>
      <c r="K1212" t="n">
        <v>0.8936802603331254</v>
      </c>
      <c r="L1212" t="b">
        <v>0</v>
      </c>
      <c r="M1212" t="b">
        <v>0</v>
      </c>
      <c r="N1212" t="inlineStr">
        <is>
          <t>ref</t>
        </is>
      </c>
      <c r="O1212" t="n">
        <v>100</v>
      </c>
      <c r="P1212" t="n">
        <v>0.01767</v>
      </c>
      <c r="Q1212" t="n">
        <v>10</v>
      </c>
      <c r="R1212" t="n">
        <v>0.02878</v>
      </c>
      <c r="S1212">
        <f>IMAGE("https://mitra.stanford.edu/kundaje/oak/projects/neuro-variants/variant_position/credible/roussos_2024/variant_figures/roussos_2024.adolescence.Astrocyte/rs35054229_count_position.png",4,220,900)</f>
        <v/>
      </c>
      <c r="T1212">
        <f>IMAGE("https://mitra.stanford.edu/kundaje/oak/projects/neuro-variants/variant_position/credible/roussos_2024/variant_figures/roussos_2024.adolescence.Astrocyte/rs35054229_profile_position.png",4,220,900)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-0.0083365462799999</v>
      </c>
      <c r="G1213" t="n">
        <v>0.7985954964134735</v>
      </c>
      <c r="H1213" t="n">
        <v>0.0244339553797705</v>
      </c>
      <c r="I1213" t="n">
        <v>0.0690314833089455</v>
      </c>
      <c r="J1213" t="n">
        <v>0.0015985223867311</v>
      </c>
      <c r="K1213" t="n">
        <v>0.8422836389597593</v>
      </c>
      <c r="L1213" t="b">
        <v>0</v>
      </c>
      <c r="M1213" t="b">
        <v>0</v>
      </c>
      <c r="N1213" t="inlineStr">
        <is>
          <t>ref</t>
        </is>
      </c>
      <c r="O1213" t="n">
        <v>40</v>
      </c>
      <c r="P1213" t="n">
        <v>0.002014</v>
      </c>
      <c r="Q1213" t="n">
        <v>15</v>
      </c>
      <c r="R1213" t="n">
        <v>0.006226</v>
      </c>
      <c r="S1213">
        <f>IMAGE("https://mitra.stanford.edu/kundaje/oak/projects/neuro-variants/variant_position/credible/roussos_2024/variant_figures/roussos_2024.adolescence.Astrocyte/rs116311114_count_position.png",4,220,900)</f>
        <v/>
      </c>
      <c r="T1213">
        <f>IMAGE("https://mitra.stanford.edu/kundaje/oak/projects/neuro-variants/variant_position/credible/roussos_2024/variant_figures/roussos_2024.adolescence.Astrocyte/rs116311114_profile_position.png",4,220,900)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0.0167331821999999</v>
      </c>
      <c r="G1214" t="n">
        <v>0.5410501500852026</v>
      </c>
      <c r="H1214" t="n">
        <v>0.0388365126522677</v>
      </c>
      <c r="I1214" t="n">
        <v>0.0109956483538811</v>
      </c>
      <c r="J1214" t="n">
        <v>0.1808770732575734</v>
      </c>
      <c r="K1214" t="n">
        <v>0.2218595400444742</v>
      </c>
      <c r="L1214" t="b">
        <v>1</v>
      </c>
      <c r="M1214" t="b">
        <v>0</v>
      </c>
      <c r="N1214" t="inlineStr">
        <is>
          <t>alt</t>
        </is>
      </c>
      <c r="O1214" t="n">
        <v>-55</v>
      </c>
      <c r="P1214" t="n">
        <v>0.00812</v>
      </c>
      <c r="Q1214" t="n">
        <v>-100</v>
      </c>
      <c r="R1214" t="n">
        <v>0.09204</v>
      </c>
      <c r="S1214">
        <f>IMAGE("https://mitra.stanford.edu/kundaje/oak/projects/neuro-variants/variant_position/credible/roussos_2024/variant_figures/roussos_2024.adolescence.Astrocyte/rs113102830_count_position.png",4,220,900)</f>
        <v/>
      </c>
      <c r="T1214">
        <f>IMAGE("https://mitra.stanford.edu/kundaje/oak/projects/neuro-variants/variant_position/credible/roussos_2024/variant_figures/roussos_2024.adolescence.Astrocyte/rs113102830_profile_position.png",4,220,900)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0.04141792564</v>
      </c>
      <c r="G1215" t="n">
        <v>0.3213992522867747</v>
      </c>
      <c r="H1215" t="n">
        <v>0.0140985305922577</v>
      </c>
      <c r="I1215" t="n">
        <v>0.3802373469094033</v>
      </c>
      <c r="J1215" t="n">
        <v>0.1831817642346378</v>
      </c>
      <c r="K1215" t="n">
        <v>0.2193306411534417</v>
      </c>
      <c r="L1215" t="b">
        <v>0</v>
      </c>
      <c r="M1215" t="b">
        <v>0</v>
      </c>
      <c r="N1215" t="inlineStr">
        <is>
          <t>alt</t>
        </is>
      </c>
      <c r="O1215" t="n">
        <v>-5</v>
      </c>
      <c r="P1215" t="n">
        <v>0.0002823</v>
      </c>
      <c r="Q1215" t="n">
        <v>-90</v>
      </c>
      <c r="R1215" t="n">
        <v>0.2168</v>
      </c>
      <c r="S1215">
        <f>IMAGE("https://mitra.stanford.edu/kundaje/oak/projects/neuro-variants/variant_position/credible/roussos_2024/variant_figures/roussos_2024.adolescence.Astrocyte/rs111590846_count_position.png",4,220,900)</f>
        <v/>
      </c>
      <c r="T1215">
        <f>IMAGE("https://mitra.stanford.edu/kundaje/oak/projects/neuro-variants/variant_position/credible/roussos_2024/variant_figures/roussos_2024.adolescence.Astrocyte/rs111590846_profile_position.png",4,220,900)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0.00184833576</v>
      </c>
      <c r="G1216" t="n">
        <v>0.8754703579197551</v>
      </c>
      <c r="H1216" t="n">
        <v>0.0112905425873229</v>
      </c>
      <c r="I1216" t="n">
        <v>0.6224745405526828</v>
      </c>
      <c r="J1216" t="n">
        <v>0.0033661691837521</v>
      </c>
      <c r="K1216" t="n">
        <v>0.7740374258753265</v>
      </c>
      <c r="L1216" t="b">
        <v>0</v>
      </c>
      <c r="M1216" t="b">
        <v>0</v>
      </c>
      <c r="N1216" t="inlineStr">
        <is>
          <t>alt</t>
        </is>
      </c>
      <c r="O1216" t="n">
        <v>100</v>
      </c>
      <c r="P1216" t="n">
        <v>0.005768</v>
      </c>
      <c r="Q1216" t="n">
        <v>-20</v>
      </c>
      <c r="R1216" t="n">
        <v>0.03525</v>
      </c>
      <c r="S1216">
        <f>IMAGE("https://mitra.stanford.edu/kundaje/oak/projects/neuro-variants/variant_position/credible/roussos_2024/variant_figures/roussos_2024.adolescence.Astrocyte/rs77942366_count_position.png",4,220,900)</f>
        <v/>
      </c>
      <c r="T1216">
        <f>IMAGE("https://mitra.stanford.edu/kundaje/oak/projects/neuro-variants/variant_position/credible/roussos_2024/variant_figures/roussos_2024.adolescence.Astrocyte/rs77942366_profile_position.png",4,220,900)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0.0656119144</v>
      </c>
      <c r="G1217" t="n">
        <v>0.2607996616935877</v>
      </c>
      <c r="H1217" t="n">
        <v>0.011674514364376</v>
      </c>
      <c r="I1217" t="n">
        <v>0.590631528349573</v>
      </c>
      <c r="J1217" t="n">
        <v>0.0305551434590392</v>
      </c>
      <c r="K1217" t="n">
        <v>0.5240773308032338</v>
      </c>
      <c r="L1217" t="b">
        <v>0</v>
      </c>
      <c r="M1217" t="b">
        <v>0</v>
      </c>
      <c r="N1217" t="inlineStr">
        <is>
          <t>alt</t>
        </is>
      </c>
      <c r="O1217" t="n">
        <v>-100</v>
      </c>
      <c r="P1217" t="n">
        <v>0.02792</v>
      </c>
      <c r="Q1217" t="n">
        <v>-25</v>
      </c>
      <c r="R1217" t="n">
        <v>0.0332</v>
      </c>
      <c r="S1217">
        <f>IMAGE("https://mitra.stanford.edu/kundaje/oak/projects/neuro-variants/variant_position/credible/roussos_2024/variant_figures/roussos_2024.adolescence.Astrocyte/rs76088535_count_position.png",4,220,900)</f>
        <v/>
      </c>
      <c r="T1217">
        <f>IMAGE("https://mitra.stanford.edu/kundaje/oak/projects/neuro-variants/variant_position/credible/roussos_2024/variant_figures/roussos_2024.adolescence.Astrocyte/rs76088535_profile_position.png",4,220,900)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0.001621759236</v>
      </c>
      <c r="G1218" t="n">
        <v>0.8614925497188582</v>
      </c>
      <c r="H1218" t="n">
        <v>0.0191816562313654</v>
      </c>
      <c r="I1218" t="n">
        <v>0.1578776586242537</v>
      </c>
      <c r="J1218" t="n">
        <v>0.0042058570453668</v>
      </c>
      <c r="K1218" t="n">
        <v>0.7799089040488999</v>
      </c>
      <c r="L1218" t="b">
        <v>0</v>
      </c>
      <c r="M1218" t="b">
        <v>0</v>
      </c>
      <c r="N1218" t="inlineStr">
        <is>
          <t>alt</t>
        </is>
      </c>
      <c r="O1218" t="n">
        <v>75</v>
      </c>
      <c r="P1218" t="n">
        <v>0.02844</v>
      </c>
      <c r="Q1218" t="n">
        <v>80</v>
      </c>
      <c r="R1218" t="n">
        <v>0.0893</v>
      </c>
      <c r="S1218">
        <f>IMAGE("https://mitra.stanford.edu/kundaje/oak/projects/neuro-variants/variant_position/credible/roussos_2024/variant_figures/roussos_2024.adolescence.Astrocyte/rs113124653_count_position.png",4,220,900)</f>
        <v/>
      </c>
      <c r="T1218">
        <f>IMAGE("https://mitra.stanford.edu/kundaje/oak/projects/neuro-variants/variant_position/credible/roussos_2024/variant_figures/roussos_2024.adolescence.Astrocyte/rs113124653_profile_position.png",4,220,900)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-0.03617951968</v>
      </c>
      <c r="G1219" t="n">
        <v>0.3471529151765569</v>
      </c>
      <c r="H1219" t="n">
        <v>0.0243393880635578</v>
      </c>
      <c r="I1219" t="n">
        <v>0.07029958607182191</v>
      </c>
      <c r="J1219" t="n">
        <v>0.266778921757707</v>
      </c>
      <c r="K1219" t="n">
        <v>0.1549317037915784</v>
      </c>
      <c r="L1219" t="b">
        <v>0</v>
      </c>
      <c r="M1219" t="b">
        <v>0</v>
      </c>
      <c r="N1219" t="inlineStr">
        <is>
          <t>ref</t>
        </is>
      </c>
      <c r="O1219" t="n">
        <v>-10</v>
      </c>
      <c r="P1219" t="n">
        <v>0.0007324</v>
      </c>
      <c r="Q1219" t="n">
        <v>-15</v>
      </c>
      <c r="R1219" t="n">
        <v>0.04858</v>
      </c>
      <c r="S1219">
        <f>IMAGE("https://mitra.stanford.edu/kundaje/oak/projects/neuro-variants/variant_position/credible/roussos_2024/variant_figures/roussos_2024.adolescence.Astrocyte/rs116767752_count_position.png",4,220,900)</f>
        <v/>
      </c>
      <c r="T1219">
        <f>IMAGE("https://mitra.stanford.edu/kundaje/oak/projects/neuro-variants/variant_position/credible/roussos_2024/variant_figures/roussos_2024.adolescence.Astrocyte/rs116767752_profile_position.png",4,220,900)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0.0226597316</v>
      </c>
      <c r="G1220" t="n">
        <v>0.5047888920720587</v>
      </c>
      <c r="H1220" t="n">
        <v>0.0180924344736079</v>
      </c>
      <c r="I1220" t="n">
        <v>0.1889478793796936</v>
      </c>
      <c r="J1220" t="n">
        <v>0.0073250155772482</v>
      </c>
      <c r="K1220" t="n">
        <v>0.7239493834077509</v>
      </c>
      <c r="L1220" t="b">
        <v>0</v>
      </c>
      <c r="M1220" t="b">
        <v>0</v>
      </c>
      <c r="N1220" t="inlineStr">
        <is>
          <t>alt</t>
        </is>
      </c>
      <c r="O1220" t="n">
        <v>-65</v>
      </c>
      <c r="P1220" t="n">
        <v>0.03513</v>
      </c>
      <c r="Q1220" t="n">
        <v>-45</v>
      </c>
      <c r="R1220" t="n">
        <v>0.1885</v>
      </c>
      <c r="S1220">
        <f>IMAGE("https://mitra.stanford.edu/kundaje/oak/projects/neuro-variants/variant_position/credible/roussos_2024/variant_figures/roussos_2024.adolescence.Astrocyte/rs71427137_count_position.png",4,220,900)</f>
        <v/>
      </c>
      <c r="T1220">
        <f>IMAGE("https://mitra.stanford.edu/kundaje/oak/projects/neuro-variants/variant_position/credible/roussos_2024/variant_figures/roussos_2024.adolescence.Astrocyte/rs71427137_profile_position.png",4,220,900)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0.182438924</v>
      </c>
      <c r="G1221" t="n">
        <v>0.0233921664520649</v>
      </c>
      <c r="H1221" t="n">
        <v>0.0312801125328395</v>
      </c>
      <c r="I1221" t="n">
        <v>0.0289260312658706</v>
      </c>
      <c r="J1221" t="n">
        <v>0.0073665549060914</v>
      </c>
      <c r="K1221" t="n">
        <v>0.7179784408495946</v>
      </c>
      <c r="L1221" t="b">
        <v>0</v>
      </c>
      <c r="M1221" t="b">
        <v>0</v>
      </c>
      <c r="N1221" t="inlineStr">
        <is>
          <t>alt</t>
        </is>
      </c>
      <c r="O1221" t="n">
        <v>70</v>
      </c>
      <c r="P1221" t="n">
        <v>0.00979</v>
      </c>
      <c r="Q1221" t="n">
        <v>100</v>
      </c>
      <c r="R1221" t="n">
        <v>0.2246</v>
      </c>
      <c r="S1221">
        <f>IMAGE("https://mitra.stanford.edu/kundaje/oak/projects/neuro-variants/variant_position/credible/roussos_2024/variant_figures/roussos_2024.adolescence.Astrocyte/rs2332687_count_position.png",4,220,900)</f>
        <v/>
      </c>
      <c r="T1221">
        <f>IMAGE("https://mitra.stanford.edu/kundaje/oak/projects/neuro-variants/variant_position/credible/roussos_2024/variant_figures/roussos_2024.adolescence.Astrocyte/rs2332687_profile_position.png",4,220,900)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0.01511336946</v>
      </c>
      <c r="G1222" t="n">
        <v>0.4940604054267682</v>
      </c>
      <c r="H1222" t="n">
        <v>0.0305108801479714</v>
      </c>
      <c r="I1222" t="n">
        <v>0.029491362215204</v>
      </c>
      <c r="J1222" t="n">
        <v>0.0005689404504049</v>
      </c>
      <c r="K1222" t="n">
        <v>0.9233416600901344</v>
      </c>
      <c r="L1222" t="b">
        <v>0</v>
      </c>
      <c r="M1222" t="b">
        <v>0</v>
      </c>
      <c r="N1222" t="inlineStr">
        <is>
          <t>alt</t>
        </is>
      </c>
      <c r="O1222" t="n">
        <v>-60</v>
      </c>
      <c r="P1222" t="n">
        <v>0.003296</v>
      </c>
      <c r="Q1222" t="n">
        <v>0</v>
      </c>
      <c r="R1222" t="n">
        <v>0</v>
      </c>
      <c r="S1222">
        <f>IMAGE("https://mitra.stanford.edu/kundaje/oak/projects/neuro-variants/variant_position/credible/roussos_2024/variant_figures/roussos_2024.adolescence.Astrocyte/rs2190864_count_position.png",4,220,900)</f>
        <v/>
      </c>
      <c r="T1222">
        <f>IMAGE("https://mitra.stanford.edu/kundaje/oak/projects/neuro-variants/variant_position/credible/roussos_2024/variant_figures/roussos_2024.adolescence.Astrocyte/rs2190864_profile_position.png",4,220,900)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-0.0869445382</v>
      </c>
      <c r="G1223" t="n">
        <v>0.1032807647108656</v>
      </c>
      <c r="H1223" t="n">
        <v>0.0125039286149562</v>
      </c>
      <c r="I1223" t="n">
        <v>0.4785616169927072</v>
      </c>
      <c r="J1223" t="n">
        <v>0.09230928997418621</v>
      </c>
      <c r="K1223" t="n">
        <v>0.3334511607869939</v>
      </c>
      <c r="L1223" t="b">
        <v>0</v>
      </c>
      <c r="M1223" t="b">
        <v>0</v>
      </c>
      <c r="N1223" t="inlineStr">
        <is>
          <t>ref</t>
        </is>
      </c>
      <c r="O1223" t="n">
        <v>-60</v>
      </c>
      <c r="P1223" t="n">
        <v>0.01823</v>
      </c>
      <c r="Q1223" t="n">
        <v>-70</v>
      </c>
      <c r="R1223" t="n">
        <v>0.05347</v>
      </c>
      <c r="S1223">
        <f>IMAGE("https://mitra.stanford.edu/kundaje/oak/projects/neuro-variants/variant_position/credible/roussos_2024/variant_figures/roussos_2024.adolescence.Astrocyte/rs2877774_count_position.png",4,220,900)</f>
        <v/>
      </c>
      <c r="T1223">
        <f>IMAGE("https://mitra.stanford.edu/kundaje/oak/projects/neuro-variants/variant_position/credible/roussos_2024/variant_figures/roussos_2024.adolescence.Astrocyte/rs2877774_profile_position.png",4,220,900)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-0.0021511008319999</v>
      </c>
      <c r="G1224" t="n">
        <v>0.5821401126572724</v>
      </c>
      <c r="H1224" t="n">
        <v>0.0101391066396739</v>
      </c>
      <c r="I1224" t="n">
        <v>0.748733779388651</v>
      </c>
      <c r="J1224" t="n">
        <v>0.0024752989348128</v>
      </c>
      <c r="K1224" t="n">
        <v>0.8070944045232376</v>
      </c>
      <c r="L1224" t="b">
        <v>0</v>
      </c>
      <c r="M1224" t="b">
        <v>0</v>
      </c>
      <c r="N1224" t="inlineStr">
        <is>
          <t>ref</t>
        </is>
      </c>
      <c r="O1224" t="n">
        <v>-35</v>
      </c>
      <c r="P1224" t="n">
        <v>0.004684</v>
      </c>
      <c r="Q1224" t="n">
        <v>-55</v>
      </c>
      <c r="R1224" t="n">
        <v>0.07290000000000001</v>
      </c>
      <c r="S1224">
        <f>IMAGE("https://mitra.stanford.edu/kundaje/oak/projects/neuro-variants/variant_position/credible/roussos_2024/variant_figures/roussos_2024.adolescence.Astrocyte/rs145192742_count_position.png",4,220,900)</f>
        <v/>
      </c>
      <c r="T1224">
        <f>IMAGE("https://mitra.stanford.edu/kundaje/oak/projects/neuro-variants/variant_position/credible/roussos_2024/variant_figures/roussos_2024.adolescence.Astrocyte/rs145192742_profile_position.png",4,220,900)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0.0481664036</v>
      </c>
      <c r="G1225" t="n">
        <v>0.2577224111986684</v>
      </c>
      <c r="H1225" t="n">
        <v>0.0103743642501856</v>
      </c>
      <c r="I1225" t="n">
        <v>0.696132876244819</v>
      </c>
      <c r="J1225" t="n">
        <v>0.0185243153428477</v>
      </c>
      <c r="K1225" t="n">
        <v>0.5836580544518395</v>
      </c>
      <c r="L1225" t="b">
        <v>0</v>
      </c>
      <c r="M1225" t="b">
        <v>0</v>
      </c>
      <c r="N1225" t="inlineStr">
        <is>
          <t>alt</t>
        </is>
      </c>
      <c r="O1225" t="n">
        <v>70</v>
      </c>
      <c r="P1225" t="n">
        <v>0.011185</v>
      </c>
      <c r="Q1225" t="n">
        <v>95</v>
      </c>
      <c r="R1225" t="n">
        <v>0.1653</v>
      </c>
      <c r="S1225">
        <f>IMAGE("https://mitra.stanford.edu/kundaje/oak/projects/neuro-variants/variant_position/credible/roussos_2024/variant_figures/roussos_2024.adolescence.Astrocyte/rs1779550_count_position.png",4,220,900)</f>
        <v/>
      </c>
      <c r="T1225">
        <f>IMAGE("https://mitra.stanford.edu/kundaje/oak/projects/neuro-variants/variant_position/credible/roussos_2024/variant_figures/roussos_2024.adolescence.Astrocyte/rs1779550_profile_position.png",4,220,900)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-0.03212466532</v>
      </c>
      <c r="G1226" t="n">
        <v>0.4018327860013249</v>
      </c>
      <c r="H1226" t="n">
        <v>0.0103323456682743</v>
      </c>
      <c r="I1226" t="n">
        <v>0.706146567790364</v>
      </c>
      <c r="J1226" t="n">
        <v>0.0023017238821469</v>
      </c>
      <c r="K1226" t="n">
        <v>0.8179613933949018</v>
      </c>
      <c r="L1226" t="b">
        <v>0</v>
      </c>
      <c r="M1226" t="b">
        <v>0</v>
      </c>
      <c r="N1226" t="inlineStr">
        <is>
          <t>ref</t>
        </is>
      </c>
      <c r="O1226" t="n">
        <v>-80</v>
      </c>
      <c r="P1226" t="n">
        <v>0.01369</v>
      </c>
      <c r="Q1226" t="n">
        <v>-30</v>
      </c>
      <c r="R1226" t="n">
        <v>0.02618</v>
      </c>
      <c r="S1226">
        <f>IMAGE("https://mitra.stanford.edu/kundaje/oak/projects/neuro-variants/variant_position/credible/roussos_2024/variant_figures/roussos_2024.adolescence.Astrocyte/rs2841157_count_position.png",4,220,900)</f>
        <v/>
      </c>
      <c r="T1226">
        <f>IMAGE("https://mitra.stanford.edu/kundaje/oak/projects/neuro-variants/variant_position/credible/roussos_2024/variant_figures/roussos_2024.adolescence.Astrocyte/rs2841157_profile_position.png",4,220,900)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0.0765998554</v>
      </c>
      <c r="G1227" t="n">
        <v>0.1370814836913506</v>
      </c>
      <c r="H1227" t="n">
        <v>0.0264750690572236</v>
      </c>
      <c r="I1227" t="n">
        <v>0.0537334830163195</v>
      </c>
      <c r="J1227" t="n">
        <v>0.3238079696169479</v>
      </c>
      <c r="K1227" t="n">
        <v>0.117415165668683</v>
      </c>
      <c r="L1227" t="b">
        <v>0</v>
      </c>
      <c r="M1227" t="b">
        <v>0</v>
      </c>
      <c r="N1227" t="inlineStr">
        <is>
          <t>alt</t>
        </is>
      </c>
      <c r="O1227" t="n">
        <v>-100</v>
      </c>
      <c r="P1227" t="n">
        <v>0.01892</v>
      </c>
      <c r="Q1227" t="n">
        <v>55</v>
      </c>
      <c r="R1227" t="n">
        <v>0.09766</v>
      </c>
      <c r="S1227">
        <f>IMAGE("https://mitra.stanford.edu/kundaje/oak/projects/neuro-variants/variant_position/credible/roussos_2024/variant_figures/roussos_2024.adolescence.Astrocyte/rs995791_count_position.png",4,220,900)</f>
        <v/>
      </c>
      <c r="T1227">
        <f>IMAGE("https://mitra.stanford.edu/kundaje/oak/projects/neuro-variants/variant_position/credible/roussos_2024/variant_figures/roussos_2024.adolescence.Astrocyte/rs995791_profile_position.png",4,220,900)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-0.155041362</v>
      </c>
      <c r="G1228" t="n">
        <v>0.0348203745990675</v>
      </c>
      <c r="H1228" t="n">
        <v>0.0182167331938008</v>
      </c>
      <c r="I1228" t="n">
        <v>0.1891408031145885</v>
      </c>
      <c r="J1228" t="n">
        <v>0.1823257573509776</v>
      </c>
      <c r="K1228" t="n">
        <v>0.2205451662766575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0.01671</v>
      </c>
      <c r="Q1228" t="n">
        <v>-80</v>
      </c>
      <c r="R1228" t="n">
        <v>0.04834</v>
      </c>
      <c r="S1228">
        <f>IMAGE("https://mitra.stanford.edu/kundaje/oak/projects/neuro-variants/variant_position/credible/roussos_2024/variant_figures/roussos_2024.adolescence.Astrocyte/rs1157827_count_position.png",4,220,900)</f>
        <v/>
      </c>
      <c r="T1228">
        <f>IMAGE("https://mitra.stanford.edu/kundaje/oak/projects/neuro-variants/variant_position/credible/roussos_2024/variant_figures/roussos_2024.adolescence.Astrocyte/rs1157827_profile_position.png",4,220,900)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-0.0104540162599999</v>
      </c>
      <c r="G1229" t="n">
        <v>0.7409637123243155</v>
      </c>
      <c r="H1229" t="n">
        <v>0.0302698824727161</v>
      </c>
      <c r="I1229" t="n">
        <v>0.0300276937102372</v>
      </c>
      <c r="J1229" t="n">
        <v>0.0061292763255496</v>
      </c>
      <c r="K1229" t="n">
        <v>0.7213501060561439</v>
      </c>
      <c r="L1229" t="b">
        <v>0</v>
      </c>
      <c r="M1229" t="b">
        <v>0</v>
      </c>
      <c r="N1229" t="inlineStr">
        <is>
          <t>ref</t>
        </is>
      </c>
      <c r="O1229" t="n">
        <v>100</v>
      </c>
      <c r="P1229" t="n">
        <v>0.01721</v>
      </c>
      <c r="Q1229" t="n">
        <v>100</v>
      </c>
      <c r="R1229" t="n">
        <v>0.1478</v>
      </c>
      <c r="S1229">
        <f>IMAGE("https://mitra.stanford.edu/kundaje/oak/projects/neuro-variants/variant_position/credible/roussos_2024/variant_figures/roussos_2024.adolescence.Astrocyte/rs67517866_count_position.png",4,220,900)</f>
        <v/>
      </c>
      <c r="T1229">
        <f>IMAGE("https://mitra.stanford.edu/kundaje/oak/projects/neuro-variants/variant_position/credible/roussos_2024/variant_figures/roussos_2024.adolescence.Astrocyte/rs67517866_profile_position.png",4,220,900)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0.01113097888</v>
      </c>
      <c r="G1230" t="n">
        <v>0.7111374932350755</v>
      </c>
      <c r="H1230" t="n">
        <v>0.0241516818067519</v>
      </c>
      <c r="I1230" t="n">
        <v>0.07165502283040009</v>
      </c>
      <c r="J1230" t="n">
        <v>0.0058474023083997</v>
      </c>
      <c r="K1230" t="n">
        <v>0.7269741257559315</v>
      </c>
      <c r="L1230" t="b">
        <v>0</v>
      </c>
      <c r="M1230" t="b">
        <v>0</v>
      </c>
      <c r="N1230" t="inlineStr">
        <is>
          <t>alt</t>
        </is>
      </c>
      <c r="O1230" t="n">
        <v>60</v>
      </c>
      <c r="P1230" t="n">
        <v>0.01318</v>
      </c>
      <c r="Q1230" t="n">
        <v>50</v>
      </c>
      <c r="R1230" t="n">
        <v>0.1217</v>
      </c>
      <c r="S1230">
        <f>IMAGE("https://mitra.stanford.edu/kundaje/oak/projects/neuro-variants/variant_position/credible/roussos_2024/variant_figures/roussos_2024.adolescence.Astrocyte/rs28637508_count_position.png",4,220,900)</f>
        <v/>
      </c>
      <c r="T1230">
        <f>IMAGE("https://mitra.stanford.edu/kundaje/oak/projects/neuro-variants/variant_position/credible/roussos_2024/variant_figures/roussos_2024.adolescence.Astrocyte/rs28637508_profile_position.png",4,220,900)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-0.0121441472</v>
      </c>
      <c r="G1231" t="n">
        <v>0.6097800291242409</v>
      </c>
      <c r="H1231" t="n">
        <v>0.0510289684775705</v>
      </c>
      <c r="I1231" t="n">
        <v>0.0036025253571614</v>
      </c>
      <c r="J1231" t="n">
        <v>0.0318398955582588</v>
      </c>
      <c r="K1231" t="n">
        <v>0.5164148060479651</v>
      </c>
      <c r="L1231" t="b">
        <v>1</v>
      </c>
      <c r="M1231" t="b">
        <v>0</v>
      </c>
      <c r="N1231" t="inlineStr">
        <is>
          <t>ref</t>
        </is>
      </c>
      <c r="O1231" t="n">
        <v>10</v>
      </c>
      <c r="P1231" t="n">
        <v>0.0006713999999999999</v>
      </c>
      <c r="Q1231" t="n">
        <v>-80</v>
      </c>
      <c r="R1231" t="n">
        <v>0.1605</v>
      </c>
      <c r="S1231">
        <f>IMAGE("https://mitra.stanford.edu/kundaje/oak/projects/neuro-variants/variant_position/credible/roussos_2024/variant_figures/roussos_2024.adolescence.Astrocyte/rs7145105_count_position.png",4,220,900)</f>
        <v/>
      </c>
      <c r="T1231">
        <f>IMAGE("https://mitra.stanford.edu/kundaje/oak/projects/neuro-variants/variant_position/credible/roussos_2024/variant_figures/roussos_2024.adolescence.Astrocyte/rs7145105_profile_position.png",4,220,900)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0.0162864450599999</v>
      </c>
      <c r="G1232" t="n">
        <v>0.6212487263242333</v>
      </c>
      <c r="H1232" t="n">
        <v>0.007735934278942</v>
      </c>
      <c r="I1232" t="n">
        <v>0.8926993278283146</v>
      </c>
      <c r="J1232" t="n">
        <v>0.028982583152835</v>
      </c>
      <c r="K1232" t="n">
        <v>0.5180961253044819</v>
      </c>
      <c r="L1232" t="b">
        <v>0</v>
      </c>
      <c r="M1232" t="b">
        <v>0</v>
      </c>
      <c r="N1232" t="inlineStr">
        <is>
          <t>alt</t>
        </is>
      </c>
      <c r="O1232" t="n">
        <v>100</v>
      </c>
      <c r="P1232" t="n">
        <v>0.04312</v>
      </c>
      <c r="Q1232" t="n">
        <v>75</v>
      </c>
      <c r="R1232" t="n">
        <v>0.5145999999999999</v>
      </c>
      <c r="S1232">
        <f>IMAGE("https://mitra.stanford.edu/kundaje/oak/projects/neuro-variants/variant_position/credible/roussos_2024/variant_figures/roussos_2024.adolescence.Astrocyte/rs12717596_count_position.png",4,220,900)</f>
        <v/>
      </c>
      <c r="T1232">
        <f>IMAGE("https://mitra.stanford.edu/kundaje/oak/projects/neuro-variants/variant_position/credible/roussos_2024/variant_figures/roussos_2024.adolescence.Astrocyte/rs12717596_profile_position.png",4,220,900)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-0.0522519372</v>
      </c>
      <c r="G1233" t="n">
        <v>0.2223743839308473</v>
      </c>
      <c r="H1233" t="n">
        <v>0.0138274183857234</v>
      </c>
      <c r="I1233" t="n">
        <v>0.4001290735242185</v>
      </c>
      <c r="J1233" t="n">
        <v>0.0002648132213749</v>
      </c>
      <c r="K1233" t="n">
        <v>0.9482734115356242</v>
      </c>
      <c r="L1233" t="b">
        <v>0</v>
      </c>
      <c r="M1233" t="b">
        <v>0</v>
      </c>
      <c r="N1233" t="inlineStr">
        <is>
          <t>ref</t>
        </is>
      </c>
      <c r="O1233" t="n">
        <v>100</v>
      </c>
      <c r="P1233" t="n">
        <v>0.007565</v>
      </c>
      <c r="Q1233" t="n">
        <v>-80</v>
      </c>
      <c r="R1233" t="n">
        <v>0.0801</v>
      </c>
      <c r="S1233">
        <f>IMAGE("https://mitra.stanford.edu/kundaje/oak/projects/neuro-variants/variant_position/credible/roussos_2024/variant_figures/roussos_2024.adolescence.Astrocyte/rs7148526_count_position.png",4,220,900)</f>
        <v/>
      </c>
      <c r="T1233">
        <f>IMAGE("https://mitra.stanford.edu/kundaje/oak/projects/neuro-variants/variant_position/credible/roussos_2024/variant_figures/roussos_2024.adolescence.Astrocyte/rs7148526_profile_position.png",4,220,900)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-0.0275653265999999</v>
      </c>
      <c r="G1234" t="n">
        <v>0.4503752732916437</v>
      </c>
      <c r="H1234" t="n">
        <v>0.0319322740499589</v>
      </c>
      <c r="I1234" t="n">
        <v>0.0244100406983444</v>
      </c>
      <c r="J1234" t="n">
        <v>0.0456836186689612</v>
      </c>
      <c r="K1234" t="n">
        <v>0.4547796555653562</v>
      </c>
      <c r="L1234" t="b">
        <v>0</v>
      </c>
      <c r="M1234" t="b">
        <v>0</v>
      </c>
      <c r="N1234" t="inlineStr">
        <is>
          <t>ref</t>
        </is>
      </c>
      <c r="O1234" t="n">
        <v>-35</v>
      </c>
      <c r="P1234" t="n">
        <v>0.03001</v>
      </c>
      <c r="Q1234" t="n">
        <v>-90</v>
      </c>
      <c r="R1234" t="n">
        <v>0.1001</v>
      </c>
      <c r="S1234">
        <f>IMAGE("https://mitra.stanford.edu/kundaje/oak/projects/neuro-variants/variant_position/credible/roussos_2024/variant_figures/roussos_2024.adolescence.Astrocyte/rs3001377_count_position.png",4,220,900)</f>
        <v/>
      </c>
      <c r="T1234">
        <f>IMAGE("https://mitra.stanford.edu/kundaje/oak/projects/neuro-variants/variant_position/credible/roussos_2024/variant_figures/roussos_2024.adolescence.Astrocyte/rs3001377_profile_position.png",4,220,900)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-0.096437852</v>
      </c>
      <c r="G1235" t="n">
        <v>0.0859980427705001</v>
      </c>
      <c r="H1235" t="n">
        <v>0.0277980492111483</v>
      </c>
      <c r="I1235" t="n">
        <v>0.0465946294240448</v>
      </c>
      <c r="J1235" t="n">
        <v>0.1353054624217428</v>
      </c>
      <c r="K1235" t="n">
        <v>0.2740726055894436</v>
      </c>
      <c r="L1235" t="b">
        <v>0</v>
      </c>
      <c r="M1235" t="b">
        <v>0</v>
      </c>
      <c r="N1235" t="inlineStr">
        <is>
          <t>ref</t>
        </is>
      </c>
      <c r="O1235" t="n">
        <v>0</v>
      </c>
      <c r="P1235" t="n">
        <v>0</v>
      </c>
      <c r="Q1235" t="n">
        <v>10</v>
      </c>
      <c r="R1235" t="n">
        <v>0.02588</v>
      </c>
      <c r="S1235">
        <f>IMAGE("https://mitra.stanford.edu/kundaje/oak/projects/neuro-variants/variant_position/credible/roussos_2024/variant_figures/roussos_2024.adolescence.Astrocyte/rs77782646_count_position.png",4,220,900)</f>
        <v/>
      </c>
      <c r="T1235">
        <f>IMAGE("https://mitra.stanford.edu/kundaje/oak/projects/neuro-variants/variant_position/credible/roussos_2024/variant_figures/roussos_2024.adolescence.Astrocyte/rs77782646_profile_position.png",4,220,900)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-0.0300477872</v>
      </c>
      <c r="G1236" t="n">
        <v>0.4056607335379076</v>
      </c>
      <c r="H1236" t="n">
        <v>0.0344536040241455</v>
      </c>
      <c r="I1236" t="n">
        <v>0.0181904652267642</v>
      </c>
      <c r="J1236" t="n">
        <v>0.1299787852713408</v>
      </c>
      <c r="K1236" t="n">
        <v>0.2784341225238133</v>
      </c>
      <c r="L1236" t="b">
        <v>1</v>
      </c>
      <c r="M1236" t="b">
        <v>0</v>
      </c>
      <c r="N1236" t="inlineStr">
        <is>
          <t>ref</t>
        </is>
      </c>
      <c r="O1236" t="n">
        <v>90</v>
      </c>
      <c r="P1236" t="n">
        <v>0.032</v>
      </c>
      <c r="Q1236" t="n">
        <v>-100</v>
      </c>
      <c r="R1236" t="n">
        <v>0.3467</v>
      </c>
      <c r="S1236">
        <f>IMAGE("https://mitra.stanford.edu/kundaje/oak/projects/neuro-variants/variant_position/credible/roussos_2024/variant_figures/roussos_2024.adolescence.Astrocyte/rs8004742_count_position.png",4,220,900)</f>
        <v/>
      </c>
      <c r="T1236">
        <f>IMAGE("https://mitra.stanford.edu/kundaje/oak/projects/neuro-variants/variant_position/credible/roussos_2024/variant_figures/roussos_2024.adolescence.Astrocyte/rs8004742_profile_position.png",4,220,900)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0.00825398288</v>
      </c>
      <c r="G1237" t="n">
        <v>0.783272707827342</v>
      </c>
      <c r="H1237" t="n">
        <v>0.0280930777666711</v>
      </c>
      <c r="I1237" t="n">
        <v>0.041247432076517</v>
      </c>
      <c r="J1237" t="n">
        <v>0.103598344361036</v>
      </c>
      <c r="K1237" t="n">
        <v>0.3148152565933779</v>
      </c>
      <c r="L1237" t="b">
        <v>0</v>
      </c>
      <c r="M1237" t="b">
        <v>0</v>
      </c>
      <c r="N1237" t="inlineStr">
        <is>
          <t>alt</t>
        </is>
      </c>
      <c r="O1237" t="n">
        <v>-75</v>
      </c>
      <c r="P1237" t="n">
        <v>0.02025</v>
      </c>
      <c r="Q1237" t="n">
        <v>-75</v>
      </c>
      <c r="R1237" t="n">
        <v>0.05627</v>
      </c>
      <c r="S1237">
        <f>IMAGE("https://mitra.stanford.edu/kundaje/oak/projects/neuro-variants/variant_position/credible/roussos_2024/variant_figures/roussos_2024.adolescence.Astrocyte/rs146120508_count_position.png",4,220,900)</f>
        <v/>
      </c>
      <c r="T1237">
        <f>IMAGE("https://mitra.stanford.edu/kundaje/oak/projects/neuro-variants/variant_position/credible/roussos_2024/variant_figures/roussos_2024.adolescence.Astrocyte/rs146120508_profile_position.png",4,220,900)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-0.03357384718</v>
      </c>
      <c r="G1238" t="n">
        <v>0.4164726288954626</v>
      </c>
      <c r="H1238" t="n">
        <v>0.0294851092672829</v>
      </c>
      <c r="I1238" t="n">
        <v>0.0336576097696048</v>
      </c>
      <c r="J1238" t="n">
        <v>0.0385403376554015</v>
      </c>
      <c r="K1238" t="n">
        <v>0.4758105695642222</v>
      </c>
      <c r="L1238" t="b">
        <v>0</v>
      </c>
      <c r="M1238" t="b">
        <v>0</v>
      </c>
      <c r="N1238" t="inlineStr">
        <is>
          <t>ref</t>
        </is>
      </c>
      <c r="O1238" t="n">
        <v>70</v>
      </c>
      <c r="P1238" t="n">
        <v>0.03348</v>
      </c>
      <c r="Q1238" t="n">
        <v>100</v>
      </c>
      <c r="R1238" t="n">
        <v>0.3044</v>
      </c>
      <c r="S1238">
        <f>IMAGE("https://mitra.stanford.edu/kundaje/oak/projects/neuro-variants/variant_position/credible/roussos_2024/variant_figures/roussos_2024.adolescence.Astrocyte/rs8004689_count_position.png",4,220,900)</f>
        <v/>
      </c>
      <c r="T1238">
        <f>IMAGE("https://mitra.stanford.edu/kundaje/oak/projects/neuro-variants/variant_position/credible/roussos_2024/variant_figures/roussos_2024.adolescence.Astrocyte/rs8004689_profile_position.png",4,220,900)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-0.0293096434799999</v>
      </c>
      <c r="G1239" t="n">
        <v>0.4490219325213225</v>
      </c>
      <c r="H1239" t="n">
        <v>0.0282490392244744</v>
      </c>
      <c r="I1239" t="n">
        <v>0.0404135578503257</v>
      </c>
      <c r="J1239" t="n">
        <v>0.0256238317063762</v>
      </c>
      <c r="K1239" t="n">
        <v>0.5434441850087244</v>
      </c>
      <c r="L1239" t="b">
        <v>0</v>
      </c>
      <c r="M1239" t="b">
        <v>0</v>
      </c>
      <c r="N1239" t="inlineStr">
        <is>
          <t>ref</t>
        </is>
      </c>
      <c r="O1239" t="n">
        <v>-50</v>
      </c>
      <c r="P1239" t="n">
        <v>0.00354</v>
      </c>
      <c r="Q1239" t="n">
        <v>-40</v>
      </c>
      <c r="R1239" t="n">
        <v>0.04053</v>
      </c>
      <c r="S1239">
        <f>IMAGE("https://mitra.stanford.edu/kundaje/oak/projects/neuro-variants/variant_position/credible/roussos_2024/variant_figures/roussos_2024.adolescence.Astrocyte/rs184858889_count_position.png",4,220,900)</f>
        <v/>
      </c>
      <c r="T1239">
        <f>IMAGE("https://mitra.stanford.edu/kundaje/oak/projects/neuro-variants/variant_position/credible/roussos_2024/variant_figures/roussos_2024.adolescence.Astrocyte/rs184858889_profile_position.png",4,220,900)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0.0578422106</v>
      </c>
      <c r="G1240" t="n">
        <v>0.1887719300643959</v>
      </c>
      <c r="H1240" t="n">
        <v>0.0130215443798959</v>
      </c>
      <c r="I1240" t="n">
        <v>0.4652433141129831</v>
      </c>
      <c r="J1240" t="n">
        <v>0.09225810758686161</v>
      </c>
      <c r="K1240" t="n">
        <v>0.3361256587162895</v>
      </c>
      <c r="L1240" t="b">
        <v>0</v>
      </c>
      <c r="M1240" t="b">
        <v>0</v>
      </c>
      <c r="N1240" t="inlineStr">
        <is>
          <t>alt</t>
        </is>
      </c>
      <c r="O1240" t="n">
        <v>-100</v>
      </c>
      <c r="P1240" t="n">
        <v>0.02022</v>
      </c>
      <c r="Q1240" t="n">
        <v>-75</v>
      </c>
      <c r="R1240" t="n">
        <v>0.1545</v>
      </c>
      <c r="S1240">
        <f>IMAGE("https://mitra.stanford.edu/kundaje/oak/projects/neuro-variants/variant_position/credible/roussos_2024/variant_figures/roussos_2024.adolescence.Astrocyte/rs4144366_count_position.png",4,220,900)</f>
        <v/>
      </c>
      <c r="T1240">
        <f>IMAGE("https://mitra.stanford.edu/kundaje/oak/projects/neuro-variants/variant_position/credible/roussos_2024/variant_figures/roussos_2024.adolescence.Astrocyte/rs4144366_profile_position.png",4,220,900)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0.0076840523199999</v>
      </c>
      <c r="G1241" t="n">
        <v>0.6625980336901269</v>
      </c>
      <c r="H1241" t="n">
        <v>0.0158052045934947</v>
      </c>
      <c r="I1241" t="n">
        <v>0.2809932525877974</v>
      </c>
      <c r="J1241" t="n">
        <v>0.0223704121294839</v>
      </c>
      <c r="K1241" t="n">
        <v>0.5533968312517098</v>
      </c>
      <c r="L1241" t="b">
        <v>0</v>
      </c>
      <c r="M1241" t="b">
        <v>0</v>
      </c>
      <c r="N1241" t="inlineStr">
        <is>
          <t>alt</t>
        </is>
      </c>
      <c r="O1241" t="n">
        <v>-40</v>
      </c>
      <c r="P1241" t="n">
        <v>0.007195</v>
      </c>
      <c r="Q1241" t="n">
        <v>65</v>
      </c>
      <c r="R1241" t="n">
        <v>0.04462</v>
      </c>
      <c r="S1241">
        <f>IMAGE("https://mitra.stanford.edu/kundaje/oak/projects/neuro-variants/variant_position/credible/roussos_2024/variant_figures/roussos_2024.adolescence.Astrocyte/rs186989036_count_position.png",4,220,900)</f>
        <v/>
      </c>
      <c r="T1241">
        <f>IMAGE("https://mitra.stanford.edu/kundaje/oak/projects/neuro-variants/variant_position/credible/roussos_2024/variant_figures/roussos_2024.adolescence.Astrocyte/rs186989036_profile_position.png",4,220,900)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-0.0385660152</v>
      </c>
      <c r="G1242" t="n">
        <v>0.2599603157943191</v>
      </c>
      <c r="H1242" t="n">
        <v>0.0182030875132415</v>
      </c>
      <c r="I1242" t="n">
        <v>0.1898001272048284</v>
      </c>
      <c r="J1242" t="n">
        <v>0.06968741655045541</v>
      </c>
      <c r="K1242" t="n">
        <v>0.3837272342937963</v>
      </c>
      <c r="L1242" t="b">
        <v>0</v>
      </c>
      <c r="M1242" t="b">
        <v>0</v>
      </c>
      <c r="N1242" t="inlineStr">
        <is>
          <t>ref</t>
        </is>
      </c>
      <c r="O1242" t="n">
        <v>80</v>
      </c>
      <c r="P1242" t="n">
        <v>0.02522</v>
      </c>
      <c r="Q1242" t="n">
        <v>50</v>
      </c>
      <c r="R1242" t="n">
        <v>0.1978</v>
      </c>
      <c r="S1242">
        <f>IMAGE("https://mitra.stanford.edu/kundaje/oak/projects/neuro-variants/variant_position/credible/roussos_2024/variant_figures/roussos_2024.adolescence.Astrocyte/rs67378160_count_position.png",4,220,900)</f>
        <v/>
      </c>
      <c r="T1242">
        <f>IMAGE("https://mitra.stanford.edu/kundaje/oak/projects/neuro-variants/variant_position/credible/roussos_2024/variant_figures/roussos_2024.adolescence.Astrocyte/rs67378160_profile_position.png",4,220,900)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0.1365225956</v>
      </c>
      <c r="G1243" t="n">
        <v>0.0554722523061909</v>
      </c>
      <c r="H1243" t="n">
        <v>0.0350438528769176</v>
      </c>
      <c r="I1243" t="n">
        <v>0.0173770744906974</v>
      </c>
      <c r="J1243" t="n">
        <v>0.0121465448179686</v>
      </c>
      <c r="K1243" t="n">
        <v>0.654088193197247</v>
      </c>
      <c r="L1243" t="b">
        <v>1</v>
      </c>
      <c r="M1243" t="b">
        <v>0</v>
      </c>
      <c r="N1243" t="inlineStr">
        <is>
          <t>alt</t>
        </is>
      </c>
      <c r="O1243" t="n">
        <v>15</v>
      </c>
      <c r="P1243" t="n">
        <v>0.001221</v>
      </c>
      <c r="Q1243" t="n">
        <v>15</v>
      </c>
      <c r="R1243" t="n">
        <v>0.06396</v>
      </c>
      <c r="S1243">
        <f>IMAGE("https://mitra.stanford.edu/kundaje/oak/projects/neuro-variants/variant_position/credible/roussos_2024/variant_figures/roussos_2024.adolescence.Astrocyte/rs7146851_count_position.png",4,220,900)</f>
        <v/>
      </c>
      <c r="T1243">
        <f>IMAGE("https://mitra.stanford.edu/kundaje/oak/projects/neuro-variants/variant_position/credible/roussos_2024/variant_figures/roussos_2024.adolescence.Astrocyte/rs7146851_profile_position.png",4,220,900)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-0.00726190646</v>
      </c>
      <c r="G1244" t="n">
        <v>0.8158773163637824</v>
      </c>
      <c r="H1244" t="n">
        <v>0.0293714486347569</v>
      </c>
      <c r="I1244" t="n">
        <v>0.034285127857884</v>
      </c>
      <c r="J1244" t="n">
        <v>0.0018974571996557</v>
      </c>
      <c r="K1244" t="n">
        <v>0.8394453517372847</v>
      </c>
      <c r="L1244" t="b">
        <v>0</v>
      </c>
      <c r="M1244" t="b">
        <v>0</v>
      </c>
      <c r="N1244" t="inlineStr">
        <is>
          <t>ref</t>
        </is>
      </c>
      <c r="O1244" t="n">
        <v>-100</v>
      </c>
      <c r="P1244" t="n">
        <v>0.005783</v>
      </c>
      <c r="Q1244" t="n">
        <v>65</v>
      </c>
      <c r="R1244" t="n">
        <v>0.11816</v>
      </c>
      <c r="S1244">
        <f>IMAGE("https://mitra.stanford.edu/kundaje/oak/projects/neuro-variants/variant_position/credible/roussos_2024/variant_figures/roussos_2024.adolescence.Astrocyte/rs17129021_count_position.png",4,220,900)</f>
        <v/>
      </c>
      <c r="T1244">
        <f>IMAGE("https://mitra.stanford.edu/kundaje/oak/projects/neuro-variants/variant_position/credible/roussos_2024/variant_figures/roussos_2024.adolescence.Astrocyte/rs17129021_profile_position.png",4,220,900)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0.1032387542</v>
      </c>
      <c r="G1245" t="n">
        <v>0.07189318216326469</v>
      </c>
      <c r="H1245" t="n">
        <v>0.0159665048036275</v>
      </c>
      <c r="I1245" t="n">
        <v>0.271842027396973</v>
      </c>
      <c r="J1245" t="n">
        <v>0.1666387265228614</v>
      </c>
      <c r="K1245" t="n">
        <v>0.2342067043728014</v>
      </c>
      <c r="L1245" t="b">
        <v>0</v>
      </c>
      <c r="M1245" t="b">
        <v>0</v>
      </c>
      <c r="N1245" t="inlineStr">
        <is>
          <t>alt</t>
        </is>
      </c>
      <c r="O1245" t="n">
        <v>-65</v>
      </c>
      <c r="P1245" t="n">
        <v>0.0438</v>
      </c>
      <c r="Q1245" t="n">
        <v>-70</v>
      </c>
      <c r="R1245" t="n">
        <v>0.241</v>
      </c>
      <c r="S1245">
        <f>IMAGE("https://mitra.stanford.edu/kundaje/oak/projects/neuro-variants/variant_position/credible/roussos_2024/variant_figures/roussos_2024.adolescence.Astrocyte/rs12591010_count_position.png",4,220,900)</f>
        <v/>
      </c>
      <c r="T1245">
        <f>IMAGE("https://mitra.stanford.edu/kundaje/oak/projects/neuro-variants/variant_position/credible/roussos_2024/variant_figures/roussos_2024.adolescence.Astrocyte/rs12591010_profile_position.png",4,220,900)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0.01194437498</v>
      </c>
      <c r="G1246" t="n">
        <v>0.7110665386555419</v>
      </c>
      <c r="H1246" t="n">
        <v>0.009026735478056099</v>
      </c>
      <c r="I1246" t="n">
        <v>0.8416252018981759</v>
      </c>
      <c r="J1246" t="n">
        <v>0.1687639082574251</v>
      </c>
      <c r="K1246" t="n">
        <v>0.232463998976622</v>
      </c>
      <c r="L1246" t="b">
        <v>0</v>
      </c>
      <c r="M1246" t="b">
        <v>0</v>
      </c>
      <c r="N1246" t="inlineStr">
        <is>
          <t>alt</t>
        </is>
      </c>
      <c r="O1246" t="n">
        <v>-85</v>
      </c>
      <c r="P1246" t="n">
        <v>0.02054</v>
      </c>
      <c r="Q1246" t="n">
        <v>45</v>
      </c>
      <c r="R1246" t="n">
        <v>0.06555</v>
      </c>
      <c r="S1246">
        <f>IMAGE("https://mitra.stanford.edu/kundaje/oak/projects/neuro-variants/variant_position/credible/roussos_2024/variant_figures/roussos_2024.adolescence.Astrocyte/rs942065_count_position.png",4,220,900)</f>
        <v/>
      </c>
      <c r="T1246">
        <f>IMAGE("https://mitra.stanford.edu/kundaje/oak/projects/neuro-variants/variant_position/credible/roussos_2024/variant_figures/roussos_2024.adolescence.Astrocyte/rs942065_profile_position.png",4,220,900)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0.1103938502</v>
      </c>
      <c r="G1247" t="n">
        <v>0.0642938536520858</v>
      </c>
      <c r="H1247" t="n">
        <v>0.0142465151745016</v>
      </c>
      <c r="I1247" t="n">
        <v>0.3709274338612617</v>
      </c>
      <c r="J1247" t="n">
        <v>0.1158383526689018</v>
      </c>
      <c r="K1247" t="n">
        <v>0.3041959335347661</v>
      </c>
      <c r="L1247" t="b">
        <v>0</v>
      </c>
      <c r="M1247" t="b">
        <v>0</v>
      </c>
      <c r="N1247" t="inlineStr">
        <is>
          <t>alt</t>
        </is>
      </c>
      <c r="O1247" t="n">
        <v>-50</v>
      </c>
      <c r="P1247" t="n">
        <v>0.007343</v>
      </c>
      <c r="Q1247" t="n">
        <v>-100</v>
      </c>
      <c r="R1247" t="n">
        <v>0.1338</v>
      </c>
      <c r="S1247">
        <f>IMAGE("https://mitra.stanford.edu/kundaje/oak/projects/neuro-variants/variant_position/credible/roussos_2024/variant_figures/roussos_2024.adolescence.Astrocyte/rs947191_count_position.png",4,220,900)</f>
        <v/>
      </c>
      <c r="T1247">
        <f>IMAGE("https://mitra.stanford.edu/kundaje/oak/projects/neuro-variants/variant_position/credible/roussos_2024/variant_figures/roussos_2024.adolescence.Astrocyte/rs947191_profile_position.png",4,220,900)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0.06574026199999999</v>
      </c>
      <c r="G1248" t="n">
        <v>0.1509030897110514</v>
      </c>
      <c r="H1248" t="n">
        <v>0.0315645744413283</v>
      </c>
      <c r="I1248" t="n">
        <v>0.0256252069809042</v>
      </c>
      <c r="J1248" t="n">
        <v>0.0320579770346852</v>
      </c>
      <c r="K1248" t="n">
        <v>0.534362868051195</v>
      </c>
      <c r="L1248" t="b">
        <v>0</v>
      </c>
      <c r="M1248" t="b">
        <v>0</v>
      </c>
      <c r="N1248" t="inlineStr">
        <is>
          <t>alt</t>
        </is>
      </c>
      <c r="O1248" t="n">
        <v>100</v>
      </c>
      <c r="P1248" t="n">
        <v>0.01979</v>
      </c>
      <c r="Q1248" t="n">
        <v>5</v>
      </c>
      <c r="R1248" t="n">
        <v>0.003662</v>
      </c>
      <c r="S1248">
        <f>IMAGE("https://mitra.stanford.edu/kundaje/oak/projects/neuro-variants/variant_position/credible/roussos_2024/variant_figures/roussos_2024.adolescence.Astrocyte/rs2614457_count_position.png",4,220,900)</f>
        <v/>
      </c>
      <c r="T1248">
        <f>IMAGE("https://mitra.stanford.edu/kundaje/oak/projects/neuro-variants/variant_position/credible/roussos_2024/variant_figures/roussos_2024.adolescence.Astrocyte/rs2614457_profile_position.png",4,220,900)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-0.0303485462</v>
      </c>
      <c r="G1249" t="n">
        <v>0.2954162876070608</v>
      </c>
      <c r="H1249" t="n">
        <v>0.0125002076653532</v>
      </c>
      <c r="I1249" t="n">
        <v>0.5066598196686108</v>
      </c>
      <c r="J1249" t="n">
        <v>0.02452674836068</v>
      </c>
      <c r="K1249" t="n">
        <v>0.57055475775361</v>
      </c>
      <c r="L1249" t="b">
        <v>0</v>
      </c>
      <c r="M1249" t="b">
        <v>0</v>
      </c>
      <c r="N1249" t="inlineStr">
        <is>
          <t>ref</t>
        </is>
      </c>
      <c r="O1249" t="n">
        <v>100</v>
      </c>
      <c r="P1249" t="n">
        <v>0.01215</v>
      </c>
      <c r="Q1249" t="n">
        <v>-75</v>
      </c>
      <c r="R1249" t="n">
        <v>0.2239</v>
      </c>
      <c r="S1249">
        <f>IMAGE("https://mitra.stanford.edu/kundaje/oak/projects/neuro-variants/variant_position/credible/roussos_2024/variant_figures/roussos_2024.adolescence.Astrocyte/rs2693695_count_position.png",4,220,900)</f>
        <v/>
      </c>
      <c r="T1249">
        <f>IMAGE("https://mitra.stanford.edu/kundaje/oak/projects/neuro-variants/variant_position/credible/roussos_2024/variant_figures/roussos_2024.adolescence.Astrocyte/rs2693695_profile_position.png",4,220,900)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-0.4204218779999999</v>
      </c>
      <c r="G1250" t="n">
        <v>0.0022185316883656</v>
      </c>
      <c r="H1250" t="n">
        <v>0.0620899837214887</v>
      </c>
      <c r="I1250" t="n">
        <v>0.001919389534978</v>
      </c>
      <c r="J1250" t="n">
        <v>0.8770910601430139</v>
      </c>
      <c r="K1250" t="n">
        <v>0.0026817741906749</v>
      </c>
      <c r="L1250" t="b">
        <v>1</v>
      </c>
      <c r="M1250" t="b">
        <v>1</v>
      </c>
      <c r="N1250" t="inlineStr">
        <is>
          <t>ref</t>
        </is>
      </c>
      <c r="O1250" t="n">
        <v>-100</v>
      </c>
      <c r="P1250" t="n">
        <v>0.004524</v>
      </c>
      <c r="Q1250" t="n">
        <v>85</v>
      </c>
      <c r="R1250" t="n">
        <v>0.01917</v>
      </c>
      <c r="S1250">
        <f>IMAGE("https://mitra.stanford.edu/kundaje/oak/projects/neuro-variants/variant_position/credible/roussos_2024/variant_figures/roussos_2024.adolescence.Astrocyte/rs12895055_count_position.png",4,220,900)</f>
        <v/>
      </c>
      <c r="T1250">
        <f>IMAGE("https://mitra.stanford.edu/kundaje/oak/projects/neuro-variants/variant_position/credible/roussos_2024/variant_figures/roussos_2024.adolescence.Astrocyte/rs12895055_profile_position.png",4,220,900)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0.0289216362</v>
      </c>
      <c r="G1251" t="n">
        <v>0.4233429471201496</v>
      </c>
      <c r="H1251" t="n">
        <v>0.0185556291522907</v>
      </c>
      <c r="I1251" t="n">
        <v>0.1771063409032817</v>
      </c>
      <c r="J1251" t="n">
        <v>0.024086134765451</v>
      </c>
      <c r="K1251" t="n">
        <v>0.5487104974184787</v>
      </c>
      <c r="L1251" t="b">
        <v>0</v>
      </c>
      <c r="M1251" t="b">
        <v>0</v>
      </c>
      <c r="N1251" t="inlineStr">
        <is>
          <t>alt</t>
        </is>
      </c>
      <c r="O1251" t="n">
        <v>-100</v>
      </c>
      <c r="P1251" t="n">
        <v>0.01023</v>
      </c>
      <c r="Q1251" t="n">
        <v>90</v>
      </c>
      <c r="R1251" t="n">
        <v>0.2346</v>
      </c>
      <c r="S1251">
        <f>IMAGE("https://mitra.stanford.edu/kundaje/oak/projects/neuro-variants/variant_position/credible/roussos_2024/variant_figures/roussos_2024.adolescence.Astrocyte/rs7147531_count_position.png",4,220,900)</f>
        <v/>
      </c>
      <c r="T1251">
        <f>IMAGE("https://mitra.stanford.edu/kundaje/oak/projects/neuro-variants/variant_position/credible/roussos_2024/variant_figures/roussos_2024.adolescence.Astrocyte/rs7147531_profile_position.png",4,220,900)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0.01182486212</v>
      </c>
      <c r="G1252" t="n">
        <v>0.6806087920806372</v>
      </c>
      <c r="H1252" t="n">
        <v>0.0160403266758339</v>
      </c>
      <c r="I1252" t="n">
        <v>0.2689916184694024</v>
      </c>
      <c r="J1252" t="n">
        <v>0.0292043734979081</v>
      </c>
      <c r="K1252" t="n">
        <v>0.5197437769665053</v>
      </c>
      <c r="L1252" t="b">
        <v>0</v>
      </c>
      <c r="M1252" t="b">
        <v>0</v>
      </c>
      <c r="N1252" t="inlineStr">
        <is>
          <t>alt</t>
        </is>
      </c>
      <c r="O1252" t="n">
        <v>-90</v>
      </c>
      <c r="P1252" t="n">
        <v>0.00699</v>
      </c>
      <c r="Q1252" t="n">
        <v>100</v>
      </c>
      <c r="R1252" t="n">
        <v>0.1548</v>
      </c>
      <c r="S1252">
        <f>IMAGE("https://mitra.stanford.edu/kundaje/oak/projects/neuro-variants/variant_position/credible/roussos_2024/variant_figures/roussos_2024.adolescence.Astrocyte/rs2403102_count_position.png",4,220,900)</f>
        <v/>
      </c>
      <c r="T1252">
        <f>IMAGE("https://mitra.stanford.edu/kundaje/oak/projects/neuro-variants/variant_position/credible/roussos_2024/variant_figures/roussos_2024.adolescence.Astrocyte/rs2403102_profile_position.png",4,220,900)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-0.047966776</v>
      </c>
      <c r="G1253" t="n">
        <v>0.1890663281215017</v>
      </c>
      <c r="H1253" t="n">
        <v>0.0268019552318612</v>
      </c>
      <c r="I1253" t="n">
        <v>0.057711374766531</v>
      </c>
      <c r="J1253" t="n">
        <v>0.0614752395929145</v>
      </c>
      <c r="K1253" t="n">
        <v>0.4071777558025711</v>
      </c>
      <c r="L1253" t="b">
        <v>0</v>
      </c>
      <c r="M1253" t="b">
        <v>0</v>
      </c>
      <c r="N1253" t="inlineStr">
        <is>
          <t>ref</t>
        </is>
      </c>
      <c r="O1253" t="n">
        <v>-55</v>
      </c>
      <c r="P1253" t="n">
        <v>0.02185</v>
      </c>
      <c r="Q1253" t="n">
        <v>-90</v>
      </c>
      <c r="R1253" t="n">
        <v>0.2532</v>
      </c>
      <c r="S1253">
        <f>IMAGE("https://mitra.stanford.edu/kundaje/oak/projects/neuro-variants/variant_position/credible/roussos_2024/variant_figures/roussos_2024.adolescence.Astrocyte/rs1131877_count_position.png",4,220,900)</f>
        <v/>
      </c>
      <c r="T1253">
        <f>IMAGE("https://mitra.stanford.edu/kundaje/oak/projects/neuro-variants/variant_position/credible/roussos_2024/variant_figures/roussos_2024.adolescence.Astrocyte/rs1131877_profile_position.png",4,220,900)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-0.0269546194</v>
      </c>
      <c r="G1254" t="n">
        <v>0.4507431807863584</v>
      </c>
      <c r="H1254" t="n">
        <v>0.009618009615646701</v>
      </c>
      <c r="I1254" t="n">
        <v>0.8027361611374362</v>
      </c>
      <c r="J1254" t="n">
        <v>0.0030472064801352</v>
      </c>
      <c r="K1254" t="n">
        <v>0.7833466771082125</v>
      </c>
      <c r="L1254" t="b">
        <v>0</v>
      </c>
      <c r="M1254" t="b">
        <v>0</v>
      </c>
      <c r="N1254" t="inlineStr">
        <is>
          <t>ref</t>
        </is>
      </c>
      <c r="O1254" t="n">
        <v>-10</v>
      </c>
      <c r="P1254" t="n">
        <v>0.003132</v>
      </c>
      <c r="Q1254" t="n">
        <v>50</v>
      </c>
      <c r="R1254" t="n">
        <v>0.0631</v>
      </c>
      <c r="S1254">
        <f>IMAGE("https://mitra.stanford.edu/kundaje/oak/projects/neuro-variants/variant_position/credible/roussos_2024/variant_figures/roussos_2024.adolescence.Astrocyte/rs8007609_count_position.png",4,220,900)</f>
        <v/>
      </c>
      <c r="T1254">
        <f>IMAGE("https://mitra.stanford.edu/kundaje/oak/projects/neuro-variants/variant_position/credible/roussos_2024/variant_figures/roussos_2024.adolescence.Astrocyte/rs8007609_profile_position.png",4,220,900)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0.0395932808</v>
      </c>
      <c r="G1255" t="n">
        <v>0.3112185034607861</v>
      </c>
      <c r="H1255" t="n">
        <v>0.008228966819178099</v>
      </c>
      <c r="I1255" t="n">
        <v>0.91623564140355</v>
      </c>
      <c r="J1255" t="n">
        <v>0.0004932795300121</v>
      </c>
      <c r="K1255" t="n">
        <v>0.9124144019283044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0.1294</v>
      </c>
      <c r="Q1255" t="n">
        <v>55</v>
      </c>
      <c r="R1255" t="n">
        <v>0.10614</v>
      </c>
      <c r="S1255">
        <f>IMAGE("https://mitra.stanford.edu/kundaje/oak/projects/neuro-variants/variant_position/credible/roussos_2024/variant_figures/roussos_2024.adolescence.Astrocyte/rs58026845_count_position.png",4,220,900)</f>
        <v/>
      </c>
      <c r="T1255">
        <f>IMAGE("https://mitra.stanford.edu/kundaje/oak/projects/neuro-variants/variant_position/credible/roussos_2024/variant_figures/roussos_2024.adolescence.Astrocyte/rs58026845_profile_position.png",4,220,900)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-0.0532241106</v>
      </c>
      <c r="G1256" t="n">
        <v>0.2155853773858855</v>
      </c>
      <c r="H1256" t="n">
        <v>0.0125681401079108</v>
      </c>
      <c r="I1256" t="n">
        <v>0.5055953213827186</v>
      </c>
      <c r="J1256" t="n">
        <v>0.0008396878616146</v>
      </c>
      <c r="K1256" t="n">
        <v>0.8837955308014757</v>
      </c>
      <c r="L1256" t="b">
        <v>0</v>
      </c>
      <c r="M1256" t="b">
        <v>0</v>
      </c>
      <c r="N1256" t="inlineStr">
        <is>
          <t>ref</t>
        </is>
      </c>
      <c r="O1256" t="n">
        <v>-40</v>
      </c>
      <c r="P1256" t="n">
        <v>0.003098</v>
      </c>
      <c r="Q1256" t="n">
        <v>-35</v>
      </c>
      <c r="R1256" t="n">
        <v>0.0448</v>
      </c>
      <c r="S1256">
        <f>IMAGE("https://mitra.stanford.edu/kundaje/oak/projects/neuro-variants/variant_position/credible/roussos_2024/variant_figures/roussos_2024.adolescence.Astrocyte/rs8008665_count_position.png",4,220,900)</f>
        <v/>
      </c>
      <c r="T1256">
        <f>IMAGE("https://mitra.stanford.edu/kundaje/oak/projects/neuro-variants/variant_position/credible/roussos_2024/variant_figures/roussos_2024.adolescence.Astrocyte/rs8008665_profile_position.png",4,220,900)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0.212086722</v>
      </c>
      <c r="G1257" t="n">
        <v>0.0178256952698773</v>
      </c>
      <c r="H1257" t="n">
        <v>0.0222325334666625</v>
      </c>
      <c r="I1257" t="n">
        <v>0.0968766935267935</v>
      </c>
      <c r="J1257" t="n">
        <v>0.1190131442304839</v>
      </c>
      <c r="K1257" t="n">
        <v>0.2942066030345059</v>
      </c>
      <c r="L1257" t="b">
        <v>1</v>
      </c>
      <c r="M1257" t="b">
        <v>0</v>
      </c>
      <c r="N1257" t="inlineStr">
        <is>
          <t>alt</t>
        </is>
      </c>
      <c r="O1257" t="n">
        <v>-5</v>
      </c>
      <c r="P1257" t="n">
        <v>0.00041</v>
      </c>
      <c r="Q1257" t="n">
        <v>35</v>
      </c>
      <c r="R1257" t="n">
        <v>0.05347</v>
      </c>
      <c r="S1257">
        <f>IMAGE("https://mitra.stanford.edu/kundaje/oak/projects/neuro-variants/variant_position/credible/roussos_2024/variant_figures/roussos_2024.adolescence.Astrocyte/rs17101455_count_position.png",4,220,900)</f>
        <v/>
      </c>
      <c r="T1257">
        <f>IMAGE("https://mitra.stanford.edu/kundaje/oak/projects/neuro-variants/variant_position/credible/roussos_2024/variant_figures/roussos_2024.adolescence.Astrocyte/rs17101455_profile_position.png",4,220,900)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-0.00384135652</v>
      </c>
      <c r="G1258" t="n">
        <v>0.8933462665137436</v>
      </c>
      <c r="H1258" t="n">
        <v>0.0069745624319614</v>
      </c>
      <c r="I1258" t="n">
        <v>0.9746925020367836</v>
      </c>
      <c r="J1258" t="n">
        <v>0.639652998249414</v>
      </c>
      <c r="K1258" t="n">
        <v>0.0258230434767123</v>
      </c>
      <c r="L1258" t="b">
        <v>0</v>
      </c>
      <c r="M1258" t="b">
        <v>0</v>
      </c>
      <c r="N1258" t="inlineStr">
        <is>
          <t>ref</t>
        </is>
      </c>
      <c r="O1258" t="n">
        <v>-95</v>
      </c>
      <c r="P1258" t="n">
        <v>0.01927</v>
      </c>
      <c r="Q1258" t="n">
        <v>-95</v>
      </c>
      <c r="R1258" t="n">
        <v>0.3174</v>
      </c>
      <c r="S1258">
        <f>IMAGE("https://mitra.stanford.edu/kundaje/oak/projects/neuro-variants/variant_position/credible/roussos_2024/variant_figures/roussos_2024.adolescence.Astrocyte/rs7145682_count_position.png",4,220,900)</f>
        <v/>
      </c>
      <c r="T1258">
        <f>IMAGE("https://mitra.stanford.edu/kundaje/oak/projects/neuro-variants/variant_position/credible/roussos_2024/variant_figures/roussos_2024.adolescence.Astrocyte/rs7145682_profile_position.png",4,220,900)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0.0563149244</v>
      </c>
      <c r="G1259" t="n">
        <v>0.2077132450474911</v>
      </c>
      <c r="H1259" t="n">
        <v>0.0107989228262752</v>
      </c>
      <c r="I1259" t="n">
        <v>0.6743676295578103</v>
      </c>
      <c r="J1259" t="n">
        <v>0.6588263656054357</v>
      </c>
      <c r="K1259" t="n">
        <v>0.0242532192293793</v>
      </c>
      <c r="L1259" t="b">
        <v>0</v>
      </c>
      <c r="M1259" t="b">
        <v>0</v>
      </c>
      <c r="N1259" t="inlineStr">
        <is>
          <t>alt</t>
        </is>
      </c>
      <c r="O1259" t="n">
        <v>-60</v>
      </c>
      <c r="P1259" t="n">
        <v>0.008644000000000001</v>
      </c>
      <c r="Q1259" t="n">
        <v>-55</v>
      </c>
      <c r="R1259" t="n">
        <v>0.2129</v>
      </c>
      <c r="S1259">
        <f>IMAGE("https://mitra.stanford.edu/kundaje/oak/projects/neuro-variants/variant_position/credible/roussos_2024/variant_figures/roussos_2024.adolescence.Astrocyte/rs7150297_count_position.png",4,220,900)</f>
        <v/>
      </c>
      <c r="T1259">
        <f>IMAGE("https://mitra.stanford.edu/kundaje/oak/projects/neuro-variants/variant_position/credible/roussos_2024/variant_figures/roussos_2024.adolescence.Astrocyte/rs7150297_profile_position.png",4,220,900)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-0.0360747636</v>
      </c>
      <c r="G1260" t="n">
        <v>0.3519056058791502</v>
      </c>
      <c r="H1260" t="n">
        <v>0.0118811038998982</v>
      </c>
      <c r="I1260" t="n">
        <v>0.5699222348145274</v>
      </c>
      <c r="J1260" t="n">
        <v>0.65238851140848</v>
      </c>
      <c r="K1260" t="n">
        <v>0.0252532075343333</v>
      </c>
      <c r="L1260" t="b">
        <v>0</v>
      </c>
      <c r="M1260" t="b">
        <v>0</v>
      </c>
      <c r="N1260" t="inlineStr">
        <is>
          <t>ref</t>
        </is>
      </c>
      <c r="O1260" t="n">
        <v>30</v>
      </c>
      <c r="P1260" t="n">
        <v>0.003843</v>
      </c>
      <c r="Q1260" t="n">
        <v>-80</v>
      </c>
      <c r="R1260" t="n">
        <v>0.1816</v>
      </c>
      <c r="S1260">
        <f>IMAGE("https://mitra.stanford.edu/kundaje/oak/projects/neuro-variants/variant_position/credible/roussos_2024/variant_figures/roussos_2024.adolescence.Astrocyte/rs72708820_count_position.png",4,220,900)</f>
        <v/>
      </c>
      <c r="T1260">
        <f>IMAGE("https://mitra.stanford.edu/kundaje/oak/projects/neuro-variants/variant_position/credible/roussos_2024/variant_figures/roussos_2024.adolescence.Astrocyte/rs72708820_profile_position.png",4,220,900)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-0.0741569362</v>
      </c>
      <c r="G1261" t="n">
        <v>0.1568389480573907</v>
      </c>
      <c r="H1261" t="n">
        <v>0.0133959872664614</v>
      </c>
      <c r="I1261" t="n">
        <v>0.4123198688702517</v>
      </c>
      <c r="J1261" t="n">
        <v>0.0157115093611844</v>
      </c>
      <c r="K1261" t="n">
        <v>0.6149133380808132</v>
      </c>
      <c r="L1261" t="b">
        <v>0</v>
      </c>
      <c r="M1261" t="b">
        <v>0</v>
      </c>
      <c r="N1261" t="inlineStr">
        <is>
          <t>ref</t>
        </is>
      </c>
      <c r="O1261" t="n">
        <v>-100</v>
      </c>
      <c r="P1261" t="n">
        <v>0.01053</v>
      </c>
      <c r="Q1261" t="n">
        <v>-80</v>
      </c>
      <c r="R1261" t="n">
        <v>0.1472</v>
      </c>
      <c r="S1261">
        <f>IMAGE("https://mitra.stanford.edu/kundaje/oak/projects/neuro-variants/variant_position/credible/roussos_2024/variant_figures/roussos_2024.adolescence.Astrocyte/rs11850831_count_position.png",4,220,900)</f>
        <v/>
      </c>
      <c r="T1261">
        <f>IMAGE("https://mitra.stanford.edu/kundaje/oak/projects/neuro-variants/variant_position/credible/roussos_2024/variant_figures/roussos_2024.adolescence.Astrocyte/rs11850831_profile_position.png",4,220,900)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-0.03734150036</v>
      </c>
      <c r="G1262" t="n">
        <v>0.3673253486391273</v>
      </c>
      <c r="H1262" t="n">
        <v>0.0135903230895879</v>
      </c>
      <c r="I1262" t="n">
        <v>0.4176419485175355</v>
      </c>
      <c r="J1262" t="n">
        <v>0.007815328012343</v>
      </c>
      <c r="K1262" t="n">
        <v>0.6951797972768049</v>
      </c>
      <c r="L1262" t="b">
        <v>0</v>
      </c>
      <c r="M1262" t="b">
        <v>0</v>
      </c>
      <c r="N1262" t="inlineStr">
        <is>
          <t>ref</t>
        </is>
      </c>
      <c r="O1262" t="n">
        <v>-45</v>
      </c>
      <c r="P1262" t="n">
        <v>0.01962</v>
      </c>
      <c r="Q1262" t="n">
        <v>-75</v>
      </c>
      <c r="R1262" t="n">
        <v>0.1089</v>
      </c>
      <c r="S1262">
        <f>IMAGE("https://mitra.stanford.edu/kundaje/oak/projects/neuro-variants/variant_position/credible/roussos_2024/variant_figures/roussos_2024.adolescence.Astrocyte/rs8007383_count_position.png",4,220,900)</f>
        <v/>
      </c>
      <c r="T1262">
        <f>IMAGE("https://mitra.stanford.edu/kundaje/oak/projects/neuro-variants/variant_position/credible/roussos_2024/variant_figures/roussos_2024.adolescence.Astrocyte/rs8007383_profile_position.png",4,220,900)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-0.008057244139999999</v>
      </c>
      <c r="G1263" t="n">
        <v>0.3690064997631191</v>
      </c>
      <c r="H1263" t="n">
        <v>0.0139533750323362</v>
      </c>
      <c r="I1263" t="n">
        <v>0.3915474411751085</v>
      </c>
      <c r="J1263" t="n">
        <v>0.0784700175058599</v>
      </c>
      <c r="K1263" t="n">
        <v>0.362096080015111</v>
      </c>
      <c r="L1263" t="b">
        <v>0</v>
      </c>
      <c r="M1263" t="b">
        <v>0</v>
      </c>
      <c r="N1263" t="inlineStr">
        <is>
          <t>ref</t>
        </is>
      </c>
      <c r="O1263" t="n">
        <v>-90</v>
      </c>
      <c r="P1263" t="n">
        <v>0.00659</v>
      </c>
      <c r="Q1263" t="n">
        <v>-55</v>
      </c>
      <c r="R1263" t="n">
        <v>0.09379999999999999</v>
      </c>
      <c r="S1263">
        <f>IMAGE("https://mitra.stanford.edu/kundaje/oak/projects/neuro-variants/variant_position/credible/roussos_2024/variant_figures/roussos_2024.adolescence.Astrocyte/rs12432904_count_position.png",4,220,900)</f>
        <v/>
      </c>
      <c r="T1263">
        <f>IMAGE("https://mitra.stanford.edu/kundaje/oak/projects/neuro-variants/variant_position/credible/roussos_2024/variant_figures/roussos_2024.adolescence.Astrocyte/rs12432904_profile_position.png",4,220,900)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-0.06904769479999991</v>
      </c>
      <c r="G1264" t="n">
        <v>0.156205714106416</v>
      </c>
      <c r="H1264" t="n">
        <v>0.0170327774112118</v>
      </c>
      <c r="I1264" t="n">
        <v>0.2278111907242422</v>
      </c>
      <c r="J1264" t="n">
        <v>0.0562494436697029</v>
      </c>
      <c r="K1264" t="n">
        <v>0.4272482585187046</v>
      </c>
      <c r="L1264" t="b">
        <v>0</v>
      </c>
      <c r="M1264" t="b">
        <v>0</v>
      </c>
      <c r="N1264" t="inlineStr">
        <is>
          <t>ref</t>
        </is>
      </c>
      <c r="O1264" t="n">
        <v>-90</v>
      </c>
      <c r="P1264" t="n">
        <v>0.006126</v>
      </c>
      <c r="Q1264" t="n">
        <v>50</v>
      </c>
      <c r="R1264" t="n">
        <v>0.06809999999999999</v>
      </c>
      <c r="S1264">
        <f>IMAGE("https://mitra.stanford.edu/kundaje/oak/projects/neuro-variants/variant_position/credible/roussos_2024/variant_figures/roussos_2024.adolescence.Astrocyte/rs12894729_count_position.png",4,220,900)</f>
        <v/>
      </c>
      <c r="T1264">
        <f>IMAGE("https://mitra.stanford.edu/kundaje/oak/projects/neuro-variants/variant_position/credible/roussos_2024/variant_figures/roussos_2024.adolescence.Astrocyte/rs12894729_profile_position.png",4,220,900)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-0.0064835773399999</v>
      </c>
      <c r="G1265" t="n">
        <v>0.7646385349858932</v>
      </c>
      <c r="H1265" t="n">
        <v>0.0273399623297881</v>
      </c>
      <c r="I1265" t="n">
        <v>0.0448638673489128</v>
      </c>
      <c r="J1265" t="n">
        <v>0.1416565290923656</v>
      </c>
      <c r="K1265" t="n">
        <v>0.2616597533528605</v>
      </c>
      <c r="L1265" t="b">
        <v>0</v>
      </c>
      <c r="M1265" t="b">
        <v>0</v>
      </c>
      <c r="N1265" t="inlineStr">
        <is>
          <t>ref</t>
        </is>
      </c>
      <c r="O1265" t="n">
        <v>-95</v>
      </c>
      <c r="P1265" t="n">
        <v>0.003214</v>
      </c>
      <c r="Q1265" t="n">
        <v>100</v>
      </c>
      <c r="R1265" t="n">
        <v>0.08716</v>
      </c>
      <c r="S1265">
        <f>IMAGE("https://mitra.stanford.edu/kundaje/oak/projects/neuro-variants/variant_position/credible/roussos_2024/variant_figures/roussos_2024.adolescence.Astrocyte/rs10431750_count_position.png",4,220,900)</f>
        <v/>
      </c>
      <c r="T1265">
        <f>IMAGE("https://mitra.stanford.edu/kundaje/oak/projects/neuro-variants/variant_position/credible/roussos_2024/variant_figures/roussos_2024.adolescence.Astrocyte/rs10431750_profile_position.png",4,220,900)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-0.01145843256</v>
      </c>
      <c r="G1266" t="n">
        <v>0.7089928571590896</v>
      </c>
      <c r="H1266" t="n">
        <v>0.0342144132887355</v>
      </c>
      <c r="I1266" t="n">
        <v>0.0183672896852104</v>
      </c>
      <c r="J1266" t="n">
        <v>0.009074118031035701</v>
      </c>
      <c r="K1266" t="n">
        <v>0.6831854691662805</v>
      </c>
      <c r="L1266" t="b">
        <v>0</v>
      </c>
      <c r="M1266" t="b">
        <v>0</v>
      </c>
      <c r="N1266" t="inlineStr">
        <is>
          <t>ref</t>
        </is>
      </c>
      <c r="O1266" t="n">
        <v>100</v>
      </c>
      <c r="P1266" t="n">
        <v>0.006836</v>
      </c>
      <c r="Q1266" t="n">
        <v>100</v>
      </c>
      <c r="R1266" t="n">
        <v>0.0437</v>
      </c>
      <c r="S1266">
        <f>IMAGE("https://mitra.stanford.edu/kundaje/oak/projects/neuro-variants/variant_position/credible/roussos_2024/variant_figures/roussos_2024.adolescence.Astrocyte/rs71417868_count_position.png",4,220,900)</f>
        <v/>
      </c>
      <c r="T1266">
        <f>IMAGE("https://mitra.stanford.edu/kundaje/oak/projects/neuro-variants/variant_position/credible/roussos_2024/variant_figures/roussos_2024.adolescence.Astrocyte/rs71417868_profile_position.png",4,220,900)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-0.0282215926</v>
      </c>
      <c r="G1267" t="n">
        <v>0.4225702693502237</v>
      </c>
      <c r="H1267" t="n">
        <v>0.0090542600068684</v>
      </c>
      <c r="I1267" t="n">
        <v>0.8444684570733282</v>
      </c>
      <c r="J1267" t="n">
        <v>0.0634995401002877</v>
      </c>
      <c r="K1267" t="n">
        <v>0.3962569060079427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0.02371</v>
      </c>
      <c r="Q1267" t="n">
        <v>-85</v>
      </c>
      <c r="R1267" t="n">
        <v>0.02173</v>
      </c>
      <c r="S1267">
        <f>IMAGE("https://mitra.stanford.edu/kundaje/oak/projects/neuro-variants/variant_position/credible/roussos_2024/variant_figures/roussos_2024.adolescence.Astrocyte/rs67899457_count_position.png",4,220,900)</f>
        <v/>
      </c>
      <c r="T1267">
        <f>IMAGE("https://mitra.stanford.edu/kundaje/oak/projects/neuro-variants/variant_position/credible/roussos_2024/variant_figures/roussos_2024.adolescence.Astrocyte/rs67899457_profile_position.png",4,220,900)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0.022941384948</v>
      </c>
      <c r="G1268" t="n">
        <v>0.3769009021456089</v>
      </c>
      <c r="H1268" t="n">
        <v>0.0202611403561233</v>
      </c>
      <c r="I1268" t="n">
        <v>0.1349171843026917</v>
      </c>
      <c r="J1268" t="n">
        <v>0.86811633979171</v>
      </c>
      <c r="K1268" t="n">
        <v>0.0028579937217644</v>
      </c>
      <c r="L1268" t="b">
        <v>0</v>
      </c>
      <c r="M1268" t="b">
        <v>0</v>
      </c>
      <c r="N1268" t="inlineStr">
        <is>
          <t>alt</t>
        </is>
      </c>
      <c r="O1268" t="n">
        <v>-100</v>
      </c>
      <c r="P1268" t="n">
        <v>0.0395</v>
      </c>
      <c r="Q1268" t="n">
        <v>-100</v>
      </c>
      <c r="R1268" t="n">
        <v>0.4102</v>
      </c>
      <c r="S1268">
        <f>IMAGE("https://mitra.stanford.edu/kundaje/oak/projects/neuro-variants/variant_position/credible/roussos_2024/variant_figures/roussos_2024.adolescence.Astrocyte/rs56168984_count_position.png",4,220,900)</f>
        <v/>
      </c>
      <c r="T1268">
        <f>IMAGE("https://mitra.stanford.edu/kundaje/oak/projects/neuro-variants/variant_position/credible/roussos_2024/variant_figures/roussos_2024.adolescence.Astrocyte/rs56168984_profile_position.png",4,220,900)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0.02122791372</v>
      </c>
      <c r="G1269" t="n">
        <v>0.5060496799128751</v>
      </c>
      <c r="H1269" t="n">
        <v>0.014125110280188</v>
      </c>
      <c r="I1269" t="n">
        <v>0.3752167035403293</v>
      </c>
      <c r="J1269" t="n">
        <v>0.008471055989080999</v>
      </c>
      <c r="K1269" t="n">
        <v>0.6902722129918946</v>
      </c>
      <c r="L1269" t="b">
        <v>0</v>
      </c>
      <c r="M1269" t="b">
        <v>0</v>
      </c>
      <c r="N1269" t="inlineStr">
        <is>
          <t>alt</t>
        </is>
      </c>
      <c r="O1269" t="n">
        <v>-35</v>
      </c>
      <c r="P1269" t="n">
        <v>0.002716</v>
      </c>
      <c r="Q1269" t="n">
        <v>75</v>
      </c>
      <c r="R1269" t="n">
        <v>0.10144</v>
      </c>
      <c r="S1269">
        <f>IMAGE("https://mitra.stanford.edu/kundaje/oak/projects/neuro-variants/variant_position/credible/roussos_2024/variant_figures/roussos_2024.adolescence.Astrocyte/rs12878682_count_position.png",4,220,900)</f>
        <v/>
      </c>
      <c r="T1269">
        <f>IMAGE("https://mitra.stanford.edu/kundaje/oak/projects/neuro-variants/variant_position/credible/roussos_2024/variant_figures/roussos_2024.adolescence.Astrocyte/rs12878682_profile_position.png",4,220,900)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0.07505407398</v>
      </c>
      <c r="G1270" t="n">
        <v>0.148165403065217</v>
      </c>
      <c r="H1270" t="n">
        <v>0.0213903002516938</v>
      </c>
      <c r="I1270" t="n">
        <v>0.1107861121446607</v>
      </c>
      <c r="J1270" t="n">
        <v>0.0010785390024626</v>
      </c>
      <c r="K1270" t="n">
        <v>0.8677529826063332</v>
      </c>
      <c r="L1270" t="b">
        <v>0</v>
      </c>
      <c r="M1270" t="b">
        <v>0</v>
      </c>
      <c r="N1270" t="inlineStr">
        <is>
          <t>alt</t>
        </is>
      </c>
      <c r="O1270" t="n">
        <v>85</v>
      </c>
      <c r="P1270" t="n">
        <v>0.003914</v>
      </c>
      <c r="Q1270" t="n">
        <v>70</v>
      </c>
      <c r="R1270" t="n">
        <v>0.08716</v>
      </c>
      <c r="S1270">
        <f>IMAGE("https://mitra.stanford.edu/kundaje/oak/projects/neuro-variants/variant_position/credible/roussos_2024/variant_figures/roussos_2024.adolescence.Astrocyte/rs12888002_count_position.png",4,220,900)</f>
        <v/>
      </c>
      <c r="T1270">
        <f>IMAGE("https://mitra.stanford.edu/kundaje/oak/projects/neuro-variants/variant_position/credible/roussos_2024/variant_figures/roussos_2024.adolescence.Astrocyte/rs12888002_profile_position.png",4,220,900)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0.0383986916</v>
      </c>
      <c r="G1271" t="n">
        <v>0.3180639337004916</v>
      </c>
      <c r="H1271" t="n">
        <v>0.0144034471426398</v>
      </c>
      <c r="I1271" t="n">
        <v>0.3616306144533299</v>
      </c>
      <c r="J1271" t="n">
        <v>0.0217606741239651</v>
      </c>
      <c r="K1271" t="n">
        <v>0.5849665506054174</v>
      </c>
      <c r="L1271" t="b">
        <v>0</v>
      </c>
      <c r="M1271" t="b">
        <v>0</v>
      </c>
      <c r="N1271" t="inlineStr">
        <is>
          <t>alt</t>
        </is>
      </c>
      <c r="O1271" t="n">
        <v>-100</v>
      </c>
      <c r="P1271" t="n">
        <v>0.00586</v>
      </c>
      <c r="Q1271" t="n">
        <v>-85</v>
      </c>
      <c r="R1271" t="n">
        <v>0.1245</v>
      </c>
      <c r="S1271">
        <f>IMAGE("https://mitra.stanford.edu/kundaje/oak/projects/neuro-variants/variant_position/credible/roussos_2024/variant_figures/roussos_2024.adolescence.Astrocyte/rs66509671_count_position.png",4,220,900)</f>
        <v/>
      </c>
      <c r="T1271">
        <f>IMAGE("https://mitra.stanford.edu/kundaje/oak/projects/neuro-variants/variant_position/credible/roussos_2024/variant_figures/roussos_2024.adolescence.Astrocyte/rs66509671_profile_position.png",4,220,900)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0.0031297903</v>
      </c>
      <c r="G1272" t="n">
        <v>0.4860186224686279</v>
      </c>
      <c r="H1272" t="n">
        <v>0.0216526547717746</v>
      </c>
      <c r="I1272" t="n">
        <v>0.1081578714535345</v>
      </c>
      <c r="J1272" t="n">
        <v>0.0142346378660652</v>
      </c>
      <c r="K1272" t="n">
        <v>0.6247166053385081</v>
      </c>
      <c r="L1272" t="b">
        <v>0</v>
      </c>
      <c r="M1272" t="b">
        <v>0</v>
      </c>
      <c r="N1272" t="inlineStr">
        <is>
          <t>alt</t>
        </is>
      </c>
      <c r="O1272" t="n">
        <v>-60</v>
      </c>
      <c r="P1272" t="n">
        <v>0.003906</v>
      </c>
      <c r="Q1272" t="n">
        <v>15</v>
      </c>
      <c r="R1272" t="n">
        <v>0.02515</v>
      </c>
      <c r="S1272">
        <f>IMAGE("https://mitra.stanford.edu/kundaje/oak/projects/neuro-variants/variant_position/credible/roussos_2024/variant_figures/roussos_2024.adolescence.Astrocyte/rs11160762_count_position.png",4,220,900)</f>
        <v/>
      </c>
      <c r="T1272">
        <f>IMAGE("https://mitra.stanford.edu/kundaje/oak/projects/neuro-variants/variant_position/credible/roussos_2024/variant_figures/roussos_2024.adolescence.Astrocyte/rs11160762_profile_position.png",4,220,900)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0.0581779112</v>
      </c>
      <c r="G1273" t="n">
        <v>0.1900555467146134</v>
      </c>
      <c r="H1273" t="n">
        <v>0.009423502189067399</v>
      </c>
      <c r="I1273" t="n">
        <v>0.7854642000882138</v>
      </c>
      <c r="J1273" t="n">
        <v>0.0019315787912054</v>
      </c>
      <c r="K1273" t="n">
        <v>0.8281681514572352</v>
      </c>
      <c r="L1273" t="b">
        <v>0</v>
      </c>
      <c r="M1273" t="b">
        <v>0</v>
      </c>
      <c r="N1273" t="inlineStr">
        <is>
          <t>alt</t>
        </is>
      </c>
      <c r="O1273" t="n">
        <v>-90</v>
      </c>
      <c r="P1273" t="n">
        <v>0.007347</v>
      </c>
      <c r="Q1273" t="n">
        <v>-100</v>
      </c>
      <c r="R1273" t="n">
        <v>0.211</v>
      </c>
      <c r="S1273">
        <f>IMAGE("https://mitra.stanford.edu/kundaje/oak/projects/neuro-variants/variant_position/credible/roussos_2024/variant_figures/roussos_2024.adolescence.Astrocyte/rs12883337_count_position.png",4,220,900)</f>
        <v/>
      </c>
      <c r="T1273">
        <f>IMAGE("https://mitra.stanford.edu/kundaje/oak/projects/neuro-variants/variant_position/credible/roussos_2024/variant_figures/roussos_2024.adolescence.Astrocyte/rs12883337_profile_position.png",4,220,900)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0.0235810676</v>
      </c>
      <c r="G1274" t="n">
        <v>0.4896513870881068</v>
      </c>
      <c r="H1274" t="n">
        <v>0.0105200090422729</v>
      </c>
      <c r="I1274" t="n">
        <v>0.6893017226595932</v>
      </c>
      <c r="J1274" t="n">
        <v>0.0009999109871524001</v>
      </c>
      <c r="K1274" t="n">
        <v>0.8707348294558886</v>
      </c>
      <c r="L1274" t="b">
        <v>0</v>
      </c>
      <c r="M1274" t="b">
        <v>0</v>
      </c>
      <c r="N1274" t="inlineStr">
        <is>
          <t>alt</t>
        </is>
      </c>
      <c r="O1274" t="n">
        <v>-35</v>
      </c>
      <c r="P1274" t="n">
        <v>0.02036</v>
      </c>
      <c r="Q1274" t="n">
        <v>10</v>
      </c>
      <c r="R1274" t="n">
        <v>0.003967</v>
      </c>
      <c r="S1274">
        <f>IMAGE("https://mitra.stanford.edu/kundaje/oak/projects/neuro-variants/variant_position/credible/roussos_2024/variant_figures/roussos_2024.adolescence.Astrocyte/rs66676135_count_position.png",4,220,900)</f>
        <v/>
      </c>
      <c r="T1274">
        <f>IMAGE("https://mitra.stanford.edu/kundaje/oak/projects/neuro-variants/variant_position/credible/roussos_2024/variant_figures/roussos_2024.adolescence.Astrocyte/rs66676135_profile_position.png",4,220,900)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0.170710444</v>
      </c>
      <c r="G1275" t="n">
        <v>0.0276149990917441</v>
      </c>
      <c r="H1275" t="n">
        <v>0.0206439648382658</v>
      </c>
      <c r="I1275" t="n">
        <v>0.1245048079051589</v>
      </c>
      <c r="J1275" t="n">
        <v>0.6885002818740171</v>
      </c>
      <c r="K1275" t="n">
        <v>0.0200928295996939</v>
      </c>
      <c r="L1275" t="b">
        <v>0</v>
      </c>
      <c r="M1275" t="b">
        <v>0</v>
      </c>
      <c r="N1275" t="inlineStr">
        <is>
          <t>alt</t>
        </is>
      </c>
      <c r="O1275" t="n">
        <v>35</v>
      </c>
      <c r="P1275" t="n">
        <v>0.00199</v>
      </c>
      <c r="Q1275" t="n">
        <v>-80</v>
      </c>
      <c r="R1275" t="n">
        <v>0.07056</v>
      </c>
      <c r="S1275">
        <f>IMAGE("https://mitra.stanford.edu/kundaje/oak/projects/neuro-variants/variant_position/credible/roussos_2024/variant_figures/roussos_2024.adolescence.Astrocyte/rs3861678_count_position.png",4,220,900)</f>
        <v/>
      </c>
      <c r="T1275">
        <f>IMAGE("https://mitra.stanford.edu/kundaje/oak/projects/neuro-variants/variant_position/credible/roussos_2024/variant_figures/roussos_2024.adolescence.Astrocyte/rs3861678_profile_position.png",4,220,900)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-0.058331133</v>
      </c>
      <c r="G1276" t="n">
        <v>0.2118193415571754</v>
      </c>
      <c r="H1276" t="n">
        <v>0.0153223672374819</v>
      </c>
      <c r="I1276" t="n">
        <v>0.3246514289890723</v>
      </c>
      <c r="J1276" t="n">
        <v>0.0902790552769782</v>
      </c>
      <c r="K1276" t="n">
        <v>0.3541655249182246</v>
      </c>
      <c r="L1276" t="b">
        <v>0</v>
      </c>
      <c r="M1276" t="b">
        <v>0</v>
      </c>
      <c r="N1276" t="inlineStr">
        <is>
          <t>ref</t>
        </is>
      </c>
      <c r="O1276" t="n">
        <v>-5</v>
      </c>
      <c r="P1276" t="n">
        <v>0.0003366</v>
      </c>
      <c r="Q1276" t="n">
        <v>-50</v>
      </c>
      <c r="R1276" t="n">
        <v>0.0537</v>
      </c>
      <c r="S1276">
        <f>IMAGE("https://mitra.stanford.edu/kundaje/oak/projects/neuro-variants/variant_position/credible/roussos_2024/variant_figures/roussos_2024.adolescence.Astrocyte/rs6576007_count_position.png",4,220,900)</f>
        <v/>
      </c>
      <c r="T1276">
        <f>IMAGE("https://mitra.stanford.edu/kundaje/oak/projects/neuro-variants/variant_position/credible/roussos_2024/variant_figures/roussos_2024.adolescence.Astrocyte/rs6576007_profile_position.png",4,220,900)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0.01539327828</v>
      </c>
      <c r="G1277" t="n">
        <v>0.5427391687527451</v>
      </c>
      <c r="H1277" t="n">
        <v>0.0107286566306517</v>
      </c>
      <c r="I1277" t="n">
        <v>0.6891652455371765</v>
      </c>
      <c r="J1277" t="n">
        <v>0.4001275850814467</v>
      </c>
      <c r="K1277" t="n">
        <v>0.087138105919595</v>
      </c>
      <c r="L1277" t="b">
        <v>0</v>
      </c>
      <c r="M1277" t="b">
        <v>0</v>
      </c>
      <c r="N1277" t="inlineStr">
        <is>
          <t>alt</t>
        </is>
      </c>
      <c r="O1277" t="n">
        <v>100</v>
      </c>
      <c r="P1277" t="n">
        <v>0.00393</v>
      </c>
      <c r="Q1277" t="n">
        <v>-100</v>
      </c>
      <c r="R1277" t="n">
        <v>0.08356</v>
      </c>
      <c r="S1277">
        <f>IMAGE("https://mitra.stanford.edu/kundaje/oak/projects/neuro-variants/variant_position/credible/roussos_2024/variant_figures/roussos_2024.adolescence.Astrocyte/rs4984237_count_position.png",4,220,900)</f>
        <v/>
      </c>
      <c r="T1277">
        <f>IMAGE("https://mitra.stanford.edu/kundaje/oak/projects/neuro-variants/variant_position/credible/roussos_2024/variant_figures/roussos_2024.adolescence.Astrocyte/rs4984237_profile_position.png",4,220,900)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0.1560088573999999</v>
      </c>
      <c r="G1278" t="n">
        <v>0.0387157115534289</v>
      </c>
      <c r="H1278" t="n">
        <v>0.0381524003106441</v>
      </c>
      <c r="I1278" t="n">
        <v>0.0133655354131637</v>
      </c>
      <c r="J1278" t="n">
        <v>0.9842795893540636</v>
      </c>
      <c r="K1278" t="n">
        <v>8.994833443632641e-06</v>
      </c>
      <c r="L1278" t="b">
        <v>1</v>
      </c>
      <c r="M1278" t="b">
        <v>0</v>
      </c>
      <c r="N1278" t="inlineStr">
        <is>
          <t>alt</t>
        </is>
      </c>
      <c r="O1278" t="n">
        <v>-35</v>
      </c>
      <c r="P1278" t="n">
        <v>0.006836</v>
      </c>
      <c r="Q1278" t="n">
        <v>-60</v>
      </c>
      <c r="R1278" t="n">
        <v>0.01953</v>
      </c>
      <c r="S1278">
        <f>IMAGE("https://mitra.stanford.edu/kundaje/oak/projects/neuro-variants/variant_position/credible/roussos_2024/variant_figures/roussos_2024.adolescence.Astrocyte/rs117799466_count_position.png",4,220,900)</f>
        <v/>
      </c>
      <c r="T1278">
        <f>IMAGE("https://mitra.stanford.edu/kundaje/oak/projects/neuro-variants/variant_position/credible/roussos_2024/variant_figures/roussos_2024.adolescence.Astrocyte/rs117799466_profile_position.png",4,220,900)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0.0404338796</v>
      </c>
      <c r="G1279" t="n">
        <v>0.2879793853720719</v>
      </c>
      <c r="H1279" t="n">
        <v>0.0102391871772882</v>
      </c>
      <c r="I1279" t="n">
        <v>0.7257654001989728</v>
      </c>
      <c r="J1279" t="n">
        <v>0.0068146752514612</v>
      </c>
      <c r="K1279" t="n">
        <v>0.7115132023687614</v>
      </c>
      <c r="L1279" t="b">
        <v>0</v>
      </c>
      <c r="M1279" t="b">
        <v>0</v>
      </c>
      <c r="N1279" t="inlineStr">
        <is>
          <t>alt</t>
        </is>
      </c>
      <c r="O1279" t="n">
        <v>-95</v>
      </c>
      <c r="P1279" t="n">
        <v>0.03693</v>
      </c>
      <c r="Q1279" t="n">
        <v>-90</v>
      </c>
      <c r="R1279" t="n">
        <v>0.06033</v>
      </c>
      <c r="S1279">
        <f>IMAGE("https://mitra.stanford.edu/kundaje/oak/projects/neuro-variants/variant_position/credible/roussos_2024/variant_figures/roussos_2024.adolescence.Astrocyte/rs11070264_count_position.png",4,220,900)</f>
        <v/>
      </c>
      <c r="T1279">
        <f>IMAGE("https://mitra.stanford.edu/kundaje/oak/projects/neuro-variants/variant_position/credible/roussos_2024/variant_figures/roussos_2024.adolescence.Astrocyte/rs11070264_profile_position.png",4,220,900)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0.0238997916</v>
      </c>
      <c r="G1280" t="n">
        <v>0.1868811162509415</v>
      </c>
      <c r="H1280" t="n">
        <v>0.0133369976227173</v>
      </c>
      <c r="I1280" t="n">
        <v>0.4360825387320768</v>
      </c>
      <c r="J1280" t="n">
        <v>0.7814868112630924</v>
      </c>
      <c r="K1280" t="n">
        <v>0.009826648623351499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0.02335</v>
      </c>
      <c r="Q1280" t="n">
        <v>-95</v>
      </c>
      <c r="R1280" t="n">
        <v>0.05164</v>
      </c>
      <c r="S1280">
        <f>IMAGE("https://mitra.stanford.edu/kundaje/oak/projects/neuro-variants/variant_position/credible/roussos_2024/variant_figures/roussos_2024.adolescence.Astrocyte/rs2289334_count_position.png",4,220,900)</f>
        <v/>
      </c>
      <c r="T1280">
        <f>IMAGE("https://mitra.stanford.edu/kundaje/oak/projects/neuro-variants/variant_position/credible/roussos_2024/variant_figures/roussos_2024.adolescence.Astrocyte/rs2289334_profile_position.png",4,220,900)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0.0754620926</v>
      </c>
      <c r="G1281" t="n">
        <v>0.1310582903632493</v>
      </c>
      <c r="H1281" t="n">
        <v>0.0147724744348579</v>
      </c>
      <c r="I1281" t="n">
        <v>0.3371746535769692</v>
      </c>
      <c r="J1281" t="n">
        <v>0.1959439812479601</v>
      </c>
      <c r="K1281" t="n">
        <v>0.2076807823182547</v>
      </c>
      <c r="L1281" t="b">
        <v>0</v>
      </c>
      <c r="M1281" t="b">
        <v>0</v>
      </c>
      <c r="N1281" t="inlineStr">
        <is>
          <t>alt</t>
        </is>
      </c>
      <c r="O1281" t="n">
        <v>-45</v>
      </c>
      <c r="P1281" t="n">
        <v>0.003868</v>
      </c>
      <c r="Q1281" t="n">
        <v>-30</v>
      </c>
      <c r="R1281" t="n">
        <v>0.1028</v>
      </c>
      <c r="S1281">
        <f>IMAGE("https://mitra.stanford.edu/kundaje/oak/projects/neuro-variants/variant_position/credible/roussos_2024/variant_figures/roussos_2024.adolescence.Astrocyte/rs1077476_count_position.png",4,220,900)</f>
        <v/>
      </c>
      <c r="T1281">
        <f>IMAGE("https://mitra.stanford.edu/kundaje/oak/projects/neuro-variants/variant_position/credible/roussos_2024/variant_figures/roussos_2024.adolescence.Astrocyte/rs1077476_profile_position.png",4,220,900)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-0.0327233438</v>
      </c>
      <c r="G1282" t="n">
        <v>0.3769781429424759</v>
      </c>
      <c r="H1282" t="n">
        <v>0.0308198082910609</v>
      </c>
      <c r="I1282" t="n">
        <v>0.0286118433623109</v>
      </c>
      <c r="J1282" t="n">
        <v>0.0069667388659762</v>
      </c>
      <c r="K1282" t="n">
        <v>0.7355153849976248</v>
      </c>
      <c r="L1282" t="b">
        <v>0</v>
      </c>
      <c r="M1282" t="b">
        <v>0</v>
      </c>
      <c r="N1282" t="inlineStr">
        <is>
          <t>ref</t>
        </is>
      </c>
      <c r="O1282" t="n">
        <v>80</v>
      </c>
      <c r="P1282" t="n">
        <v>0.0067</v>
      </c>
      <c r="Q1282" t="n">
        <v>-65</v>
      </c>
      <c r="R1282" t="n">
        <v>0.1604</v>
      </c>
      <c r="S1282">
        <f>IMAGE("https://mitra.stanford.edu/kundaje/oak/projects/neuro-variants/variant_position/credible/roussos_2024/variant_figures/roussos_2024.adolescence.Astrocyte/rs2467742_count_position.png",4,220,900)</f>
        <v/>
      </c>
      <c r="T1282">
        <f>IMAGE("https://mitra.stanford.edu/kundaje/oak/projects/neuro-variants/variant_position/credible/roussos_2024/variant_figures/roussos_2024.adolescence.Astrocyte/rs2467742_profile_position.png",4,220,900)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-0.0104562271999999</v>
      </c>
      <c r="G1283" t="n">
        <v>0.7364568123372295</v>
      </c>
      <c r="H1283" t="n">
        <v>0.0339791482589979</v>
      </c>
      <c r="I1283" t="n">
        <v>0.0190210358160382</v>
      </c>
      <c r="J1283" t="n">
        <v>0.0007061685903331</v>
      </c>
      <c r="K1283" t="n">
        <v>0.8957890550789456</v>
      </c>
      <c r="L1283" t="b">
        <v>0</v>
      </c>
      <c r="M1283" t="b">
        <v>0</v>
      </c>
      <c r="N1283" t="inlineStr">
        <is>
          <t>ref</t>
        </is>
      </c>
      <c r="O1283" t="n">
        <v>-80</v>
      </c>
      <c r="P1283" t="n">
        <v>0.00886</v>
      </c>
      <c r="Q1283" t="n">
        <v>-100</v>
      </c>
      <c r="R1283" t="n">
        <v>0.129</v>
      </c>
      <c r="S1283">
        <f>IMAGE("https://mitra.stanford.edu/kundaje/oak/projects/neuro-variants/variant_position/credible/roussos_2024/variant_figures/roussos_2024.adolescence.Astrocyte/rs518288_count_position.png",4,220,900)</f>
        <v/>
      </c>
      <c r="T1283">
        <f>IMAGE("https://mitra.stanford.edu/kundaje/oak/projects/neuro-variants/variant_position/credible/roussos_2024/variant_figures/roussos_2024.adolescence.Astrocyte/rs518288_profile_position.png",4,220,900)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-0.02307476566</v>
      </c>
      <c r="G1284" t="n">
        <v>0.5302477044799702</v>
      </c>
      <c r="H1284" t="n">
        <v>0.01023872650596</v>
      </c>
      <c r="I1284" t="n">
        <v>0.6878277205719179</v>
      </c>
      <c r="J1284" t="n">
        <v>0.3747574399905052</v>
      </c>
      <c r="K1284" t="n">
        <v>0.0974702330685796</v>
      </c>
      <c r="L1284" t="b">
        <v>0</v>
      </c>
      <c r="M1284" t="b">
        <v>0</v>
      </c>
      <c r="N1284" t="inlineStr">
        <is>
          <t>ref</t>
        </is>
      </c>
      <c r="O1284" t="n">
        <v>-100</v>
      </c>
      <c r="P1284" t="n">
        <v>0.07290000000000001</v>
      </c>
      <c r="Q1284" t="n">
        <v>-100</v>
      </c>
      <c r="R1284" t="n">
        <v>0.6675</v>
      </c>
      <c r="S1284">
        <f>IMAGE("https://mitra.stanford.edu/kundaje/oak/projects/neuro-variants/variant_position/credible/roussos_2024/variant_figures/roussos_2024.adolescence.Astrocyte/rs572837_count_position.png",4,220,900)</f>
        <v/>
      </c>
      <c r="T1284">
        <f>IMAGE("https://mitra.stanford.edu/kundaje/oak/projects/neuro-variants/variant_position/credible/roussos_2024/variant_figures/roussos_2024.adolescence.Astrocyte/rs572837_profile_position.png",4,220,900)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-0.083035947</v>
      </c>
      <c r="G1285" t="n">
        <v>0.1597486824823999</v>
      </c>
      <c r="H1285" t="n">
        <v>0.021726957926122</v>
      </c>
      <c r="I1285" t="n">
        <v>0.1270781284370709</v>
      </c>
      <c r="J1285" t="n">
        <v>0.0015250867875262</v>
      </c>
      <c r="K1285" t="n">
        <v>0.8397032733742309</v>
      </c>
      <c r="L1285" t="b">
        <v>0</v>
      </c>
      <c r="M1285" t="b">
        <v>0</v>
      </c>
      <c r="N1285" t="inlineStr">
        <is>
          <t>ref</t>
        </is>
      </c>
      <c r="O1285" t="n">
        <v>95</v>
      </c>
      <c r="P1285" t="n">
        <v>0.001881</v>
      </c>
      <c r="Q1285" t="n">
        <v>-85</v>
      </c>
      <c r="R1285" t="n">
        <v>0.11707</v>
      </c>
      <c r="S1285">
        <f>IMAGE("https://mitra.stanford.edu/kundaje/oak/projects/neuro-variants/variant_position/credible/roussos_2024/variant_figures/roussos_2024.adolescence.Astrocyte/rs2255663_count_position.png",4,220,900)</f>
        <v/>
      </c>
      <c r="T1285">
        <f>IMAGE("https://mitra.stanford.edu/kundaje/oak/projects/neuro-variants/variant_position/credible/roussos_2024/variant_figures/roussos_2024.adolescence.Astrocyte/rs2255663_profile_position.png",4,220,900)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-0.0238624261</v>
      </c>
      <c r="G1286" t="n">
        <v>0.4926541583856228</v>
      </c>
      <c r="H1286" t="n">
        <v>0.0322576608026767</v>
      </c>
      <c r="I1286" t="n">
        <v>0.0233028544259105</v>
      </c>
      <c r="J1286" t="n">
        <v>0.0266905023291694</v>
      </c>
      <c r="K1286" t="n">
        <v>0.5432642878421109</v>
      </c>
      <c r="L1286" t="b">
        <v>0</v>
      </c>
      <c r="M1286" t="b">
        <v>0</v>
      </c>
      <c r="N1286" t="inlineStr">
        <is>
          <t>ref</t>
        </is>
      </c>
      <c r="O1286" t="n">
        <v>100</v>
      </c>
      <c r="P1286" t="n">
        <v>0.004322</v>
      </c>
      <c r="Q1286" t="n">
        <v>90</v>
      </c>
      <c r="R1286" t="n">
        <v>0.00928</v>
      </c>
      <c r="S1286">
        <f>IMAGE("https://mitra.stanford.edu/kundaje/oak/projects/neuro-variants/variant_position/credible/roussos_2024/variant_figures/roussos_2024.adolescence.Astrocyte/rs7169112_count_position.png",4,220,900)</f>
        <v/>
      </c>
      <c r="T1286">
        <f>IMAGE("https://mitra.stanford.edu/kundaje/oak/projects/neuro-variants/variant_position/credible/roussos_2024/variant_figures/roussos_2024.adolescence.Astrocyte/rs7169112_profile_position.png",4,220,900)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-0.0130683416</v>
      </c>
      <c r="G1287" t="n">
        <v>0.675785409115564</v>
      </c>
      <c r="H1287" t="n">
        <v>0.0634849094828516</v>
      </c>
      <c r="I1287" t="n">
        <v>0.0016063489992405</v>
      </c>
      <c r="J1287" t="n">
        <v>0.0030264368157136</v>
      </c>
      <c r="K1287" t="n">
        <v>0.7953146627370024</v>
      </c>
      <c r="L1287" t="b">
        <v>0</v>
      </c>
      <c r="M1287" t="b">
        <v>0</v>
      </c>
      <c r="N1287" t="inlineStr">
        <is>
          <t>ref</t>
        </is>
      </c>
      <c r="O1287" t="n">
        <v>-65</v>
      </c>
      <c r="P1287" t="n">
        <v>0.02554</v>
      </c>
      <c r="Q1287" t="n">
        <v>75</v>
      </c>
      <c r="R1287" t="n">
        <v>0.1029</v>
      </c>
      <c r="S1287">
        <f>IMAGE("https://mitra.stanford.edu/kundaje/oak/projects/neuro-variants/variant_position/credible/roussos_2024/variant_figures/roussos_2024.adolescence.Astrocyte/rs8033846_count_position.png",4,220,900)</f>
        <v/>
      </c>
      <c r="T1287">
        <f>IMAGE("https://mitra.stanford.edu/kundaje/oak/projects/neuro-variants/variant_position/credible/roussos_2024/variant_figures/roussos_2024.adolescence.Astrocyte/rs8033846_profile_position.png",4,220,900)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0.02702807216</v>
      </c>
      <c r="G1288" t="n">
        <v>0.4313029982769677</v>
      </c>
      <c r="H1288" t="n">
        <v>0.0290624827514674</v>
      </c>
      <c r="I1288" t="n">
        <v>0.0355626581738568</v>
      </c>
      <c r="J1288" t="n">
        <v>0.972001008812272</v>
      </c>
      <c r="K1288" t="n">
        <v>3.632367413143972e-05</v>
      </c>
      <c r="L1288" t="b">
        <v>0</v>
      </c>
      <c r="M1288" t="b">
        <v>0</v>
      </c>
      <c r="N1288" t="inlineStr">
        <is>
          <t>alt</t>
        </is>
      </c>
      <c r="O1288" t="n">
        <v>65</v>
      </c>
      <c r="P1288" t="n">
        <v>0.02954</v>
      </c>
      <c r="Q1288" t="n">
        <v>75</v>
      </c>
      <c r="R1288" t="n">
        <v>0.00293</v>
      </c>
      <c r="S1288">
        <f>IMAGE("https://mitra.stanford.edu/kundaje/oak/projects/neuro-variants/variant_position/credible/roussos_2024/variant_figures/roussos_2024.adolescence.Astrocyte/rs7174732_count_position.png",4,220,900)</f>
        <v/>
      </c>
      <c r="T1288">
        <f>IMAGE("https://mitra.stanford.edu/kundaje/oak/projects/neuro-variants/variant_position/credible/roussos_2024/variant_figures/roussos_2024.adolescence.Astrocyte/rs7174732_profile_position.png",4,220,900)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-0.014426277092</v>
      </c>
      <c r="G1289" t="n">
        <v>0.3918074279540519</v>
      </c>
      <c r="H1289" t="n">
        <v>0.0136576499335189</v>
      </c>
      <c r="I1289" t="n">
        <v>0.411514049690166</v>
      </c>
      <c r="J1289" t="n">
        <v>0.9411699255259176</v>
      </c>
      <c r="K1289" t="n">
        <v>0.0003431918773632</v>
      </c>
      <c r="L1289" t="b">
        <v>0</v>
      </c>
      <c r="M1289" t="b">
        <v>0</v>
      </c>
      <c r="N1289" t="inlineStr">
        <is>
          <t>ref</t>
        </is>
      </c>
      <c r="O1289" t="n">
        <v>-100</v>
      </c>
      <c r="P1289" t="n">
        <v>0.02686</v>
      </c>
      <c r="Q1289" t="n">
        <v>60</v>
      </c>
      <c r="R1289" t="n">
        <v>0.0462</v>
      </c>
      <c r="S1289">
        <f>IMAGE("https://mitra.stanford.edu/kundaje/oak/projects/neuro-variants/variant_position/credible/roussos_2024/variant_figures/roussos_2024.adolescence.Astrocyte/rs2411284_count_position.png",4,220,900)</f>
        <v/>
      </c>
      <c r="T1289">
        <f>IMAGE("https://mitra.stanford.edu/kundaje/oak/projects/neuro-variants/variant_position/credible/roussos_2024/variant_figures/roussos_2024.adolescence.Astrocyte/rs2411284_profile_position.png",4,220,900)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0.1622108572</v>
      </c>
      <c r="G1290" t="n">
        <v>0.0339687174308757</v>
      </c>
      <c r="H1290" t="n">
        <v>0.0317443792449679</v>
      </c>
      <c r="I1290" t="n">
        <v>0.0267880964726527</v>
      </c>
      <c r="J1290" t="n">
        <v>0.1344635492389401</v>
      </c>
      <c r="K1290" t="n">
        <v>0.2717775754402539</v>
      </c>
      <c r="L1290" t="b">
        <v>0</v>
      </c>
      <c r="M1290" t="b">
        <v>0</v>
      </c>
      <c r="N1290" t="inlineStr">
        <is>
          <t>alt</t>
        </is>
      </c>
      <c r="O1290" t="n">
        <v>-65</v>
      </c>
      <c r="P1290" t="n">
        <v>0.005203</v>
      </c>
      <c r="Q1290" t="n">
        <v>80</v>
      </c>
      <c r="R1290" t="n">
        <v>0.2942</v>
      </c>
      <c r="S1290">
        <f>IMAGE("https://mitra.stanford.edu/kundaje/oak/projects/neuro-variants/variant_position/credible/roussos_2024/variant_figures/roussos_2024.adolescence.Astrocyte/rs12441861_count_position.png",4,220,900)</f>
        <v/>
      </c>
      <c r="T1290">
        <f>IMAGE("https://mitra.stanford.edu/kundaje/oak/projects/neuro-variants/variant_position/credible/roussos_2024/variant_figures/roussos_2024.adolescence.Astrocyte/rs12441861_profile_position.png",4,220,900)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0.01070464644</v>
      </c>
      <c r="G1291" t="n">
        <v>0.6571060156159384</v>
      </c>
      <c r="H1291" t="n">
        <v>0.0577405520306337</v>
      </c>
      <c r="I1291" t="n">
        <v>0.0022272793136504</v>
      </c>
      <c r="J1291" t="n">
        <v>0.0242441325698008</v>
      </c>
      <c r="K1291" t="n">
        <v>0.5537145747715839</v>
      </c>
      <c r="L1291" t="b">
        <v>1</v>
      </c>
      <c r="M1291" t="b">
        <v>0</v>
      </c>
      <c r="N1291" t="inlineStr">
        <is>
          <t>alt</t>
        </is>
      </c>
      <c r="O1291" t="n">
        <v>95</v>
      </c>
      <c r="P1291" t="n">
        <v>0.021</v>
      </c>
      <c r="Q1291" t="n">
        <v>95</v>
      </c>
      <c r="R1291" t="n">
        <v>0.1858</v>
      </c>
      <c r="S1291">
        <f>IMAGE("https://mitra.stanford.edu/kundaje/oak/projects/neuro-variants/variant_position/credible/roussos_2024/variant_figures/roussos_2024.adolescence.Astrocyte/rs2957583_count_position.png",4,220,900)</f>
        <v/>
      </c>
      <c r="T1291">
        <f>IMAGE("https://mitra.stanford.edu/kundaje/oak/projects/neuro-variants/variant_position/credible/roussos_2024/variant_figures/roussos_2024.adolescence.Astrocyte/rs2957583_profile_position.png",4,220,900)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-0.0293583971999999</v>
      </c>
      <c r="G1292" t="n">
        <v>0.4237494971656875</v>
      </c>
      <c r="H1292" t="n">
        <v>0.0250912701977446</v>
      </c>
      <c r="I1292" t="n">
        <v>0.06252016137897221</v>
      </c>
      <c r="J1292" t="n">
        <v>0.0116295285286175</v>
      </c>
      <c r="K1292" t="n">
        <v>0.6465202413227558</v>
      </c>
      <c r="L1292" t="b">
        <v>0</v>
      </c>
      <c r="M1292" t="b">
        <v>0</v>
      </c>
      <c r="N1292" t="inlineStr">
        <is>
          <t>ref</t>
        </is>
      </c>
      <c r="O1292" t="n">
        <v>30</v>
      </c>
      <c r="P1292" t="n">
        <v>0.005768</v>
      </c>
      <c r="Q1292" t="n">
        <v>-95</v>
      </c>
      <c r="R1292" t="n">
        <v>0.1149</v>
      </c>
      <c r="S1292">
        <f>IMAGE("https://mitra.stanford.edu/kundaje/oak/projects/neuro-variants/variant_position/credible/roussos_2024/variant_figures/roussos_2024.adolescence.Astrocyte/rs4924727_count_position.png",4,220,900)</f>
        <v/>
      </c>
      <c r="T1292">
        <f>IMAGE("https://mitra.stanford.edu/kundaje/oak/projects/neuro-variants/variant_position/credible/roussos_2024/variant_figures/roussos_2024.adolescence.Astrocyte/rs4924727_profile_position.png",4,220,900)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0.0383145948</v>
      </c>
      <c r="G1293" t="n">
        <v>0.3223297400873275</v>
      </c>
      <c r="H1293" t="n">
        <v>0.0168741926786333</v>
      </c>
      <c r="I1293" t="n">
        <v>0.2328359421298209</v>
      </c>
      <c r="J1293" t="n">
        <v>0.0083382784915289</v>
      </c>
      <c r="K1293" t="n">
        <v>0.701717991947836</v>
      </c>
      <c r="L1293" t="b">
        <v>0</v>
      </c>
      <c r="M1293" t="b">
        <v>0</v>
      </c>
      <c r="N1293" t="inlineStr">
        <is>
          <t>alt</t>
        </is>
      </c>
      <c r="O1293" t="n">
        <v>-100</v>
      </c>
      <c r="P1293" t="n">
        <v>0.003487</v>
      </c>
      <c r="Q1293" t="n">
        <v>-100</v>
      </c>
      <c r="R1293" t="n">
        <v>0.3066</v>
      </c>
      <c r="S1293">
        <f>IMAGE("https://mitra.stanford.edu/kundaje/oak/projects/neuro-variants/variant_position/credible/roussos_2024/variant_figures/roussos_2024.adolescence.Astrocyte/rs12437804_count_position.png",4,220,900)</f>
        <v/>
      </c>
      <c r="T1293">
        <f>IMAGE("https://mitra.stanford.edu/kundaje/oak/projects/neuro-variants/variant_position/credible/roussos_2024/variant_figures/roussos_2024.adolescence.Astrocyte/rs12437804_profile_position.png",4,220,900)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0.493634372</v>
      </c>
      <c r="G1294" t="n">
        <v>0.0012003904127246</v>
      </c>
      <c r="H1294" t="n">
        <v>0.0416162958341573</v>
      </c>
      <c r="I1294" t="n">
        <v>0.0083235887188636</v>
      </c>
      <c r="J1294" t="n">
        <v>0.2276600005934189</v>
      </c>
      <c r="K1294" t="n">
        <v>0.1799222781571648</v>
      </c>
      <c r="L1294" t="b">
        <v>1</v>
      </c>
      <c r="M1294" t="b">
        <v>1</v>
      </c>
      <c r="N1294" t="inlineStr">
        <is>
          <t>alt</t>
        </is>
      </c>
      <c r="O1294" t="n">
        <v>0</v>
      </c>
      <c r="P1294" t="n">
        <v>0</v>
      </c>
      <c r="Q1294" t="n">
        <v>0</v>
      </c>
      <c r="R1294" t="n">
        <v>0</v>
      </c>
      <c r="S1294">
        <f>IMAGE("https://mitra.stanford.edu/kundaje/oak/projects/neuro-variants/variant_position/credible/roussos_2024/variant_figures/roussos_2024.adolescence.Astrocyte/rs4419034_count_position.png",4,220,900)</f>
        <v/>
      </c>
      <c r="T1294">
        <f>IMAGE("https://mitra.stanford.edu/kundaje/oak/projects/neuro-variants/variant_position/credible/roussos_2024/variant_figures/roussos_2024.adolescence.Astrocyte/rs4419034_profile_position.png",4,220,900)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-0.0975798246</v>
      </c>
      <c r="G1295" t="n">
        <v>0.0837597793458368</v>
      </c>
      <c r="H1295" t="n">
        <v>0.0126161903500666</v>
      </c>
      <c r="I1295" t="n">
        <v>0.5003471658146706</v>
      </c>
      <c r="J1295" t="n">
        <v>0.1113061151826246</v>
      </c>
      <c r="K1295" t="n">
        <v>0.3082704667631163</v>
      </c>
      <c r="L1295" t="b">
        <v>0</v>
      </c>
      <c r="M1295" t="b">
        <v>0</v>
      </c>
      <c r="N1295" t="inlineStr">
        <is>
          <t>ref</t>
        </is>
      </c>
      <c r="O1295" t="n">
        <v>100</v>
      </c>
      <c r="P1295" t="n">
        <v>0.003815</v>
      </c>
      <c r="Q1295" t="n">
        <v>100</v>
      </c>
      <c r="R1295" t="n">
        <v>0.08887</v>
      </c>
      <c r="S1295">
        <f>IMAGE("https://mitra.stanford.edu/kundaje/oak/projects/neuro-variants/variant_position/credible/roussos_2024/variant_figures/roussos_2024.adolescence.Astrocyte/rs2706488_count_position.png",4,220,900)</f>
        <v/>
      </c>
      <c r="T1295">
        <f>IMAGE("https://mitra.stanford.edu/kundaje/oak/projects/neuro-variants/variant_position/credible/roussos_2024/variant_figures/roussos_2024.adolescence.Astrocyte/rs2706488_profile_position.png",4,220,900)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-0.0130379659</v>
      </c>
      <c r="G1296" t="n">
        <v>0.5753520148781969</v>
      </c>
      <c r="H1296" t="n">
        <v>0.0320581177686189</v>
      </c>
      <c r="I1296" t="n">
        <v>0.0238120607796565</v>
      </c>
      <c r="J1296" t="n">
        <v>0.2079392042251431</v>
      </c>
      <c r="K1296" t="n">
        <v>0.1959850322366973</v>
      </c>
      <c r="L1296" t="b">
        <v>0</v>
      </c>
      <c r="M1296" t="b">
        <v>0</v>
      </c>
      <c r="N1296" t="inlineStr">
        <is>
          <t>ref</t>
        </is>
      </c>
      <c r="O1296" t="n">
        <v>45</v>
      </c>
      <c r="P1296" t="n">
        <v>0.0105</v>
      </c>
      <c r="Q1296" t="n">
        <v>50</v>
      </c>
      <c r="R1296" t="n">
        <v>0.19</v>
      </c>
      <c r="S1296">
        <f>IMAGE("https://mitra.stanford.edu/kundaje/oak/projects/neuro-variants/variant_position/credible/roussos_2024/variant_figures/roussos_2024.adolescence.Astrocyte/rs2957581_count_position.png",4,220,900)</f>
        <v/>
      </c>
      <c r="T1296">
        <f>IMAGE("https://mitra.stanford.edu/kundaje/oak/projects/neuro-variants/variant_position/credible/roussos_2024/variant_figures/roussos_2024.adolescence.Astrocyte/rs2957581_profile_position.png",4,220,900)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0.2941917719999999</v>
      </c>
      <c r="G1297" t="n">
        <v>0.0076340724685166</v>
      </c>
      <c r="H1297" t="n">
        <v>0.0474887492013736</v>
      </c>
      <c r="I1297" t="n">
        <v>0.0050414607041484</v>
      </c>
      <c r="J1297" t="n">
        <v>0.0313243628163664</v>
      </c>
      <c r="K1297" t="n">
        <v>0.5150375538444643</v>
      </c>
      <c r="L1297" t="b">
        <v>1</v>
      </c>
      <c r="M1297" t="b">
        <v>1</v>
      </c>
      <c r="N1297" t="inlineStr">
        <is>
          <t>alt</t>
        </is>
      </c>
      <c r="O1297" t="n">
        <v>-80</v>
      </c>
      <c r="P1297" t="n">
        <v>0.02148</v>
      </c>
      <c r="Q1297" t="n">
        <v>-60</v>
      </c>
      <c r="R1297" t="n">
        <v>0.04028</v>
      </c>
      <c r="S1297">
        <f>IMAGE("https://mitra.stanford.edu/kundaje/oak/projects/neuro-variants/variant_position/credible/roussos_2024/variant_figures/roussos_2024.adolescence.Astrocyte/rs2615285_count_position.png",4,220,900)</f>
        <v/>
      </c>
      <c r="T1297">
        <f>IMAGE("https://mitra.stanford.edu/kundaje/oak/projects/neuro-variants/variant_position/credible/roussos_2024/variant_figures/roussos_2024.adolescence.Astrocyte/rs2615285_profile_position.png",4,220,900)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0.008743310900000001</v>
      </c>
      <c r="G1298" t="n">
        <v>0.7334248366980682</v>
      </c>
      <c r="H1298" t="n">
        <v>0.0291187991906258</v>
      </c>
      <c r="I1298" t="n">
        <v>0.0352425994763705</v>
      </c>
      <c r="J1298" t="n">
        <v>0.0270665816099456</v>
      </c>
      <c r="K1298" t="n">
        <v>0.5422740324669958</v>
      </c>
      <c r="L1298" t="b">
        <v>0</v>
      </c>
      <c r="M1298" t="b">
        <v>0</v>
      </c>
      <c r="N1298" t="inlineStr">
        <is>
          <t>alt</t>
        </is>
      </c>
      <c r="O1298" t="n">
        <v>75</v>
      </c>
      <c r="P1298" t="n">
        <v>0.002647</v>
      </c>
      <c r="Q1298" t="n">
        <v>-40</v>
      </c>
      <c r="R1298" t="n">
        <v>0.0699</v>
      </c>
      <c r="S1298">
        <f>IMAGE("https://mitra.stanford.edu/kundaje/oak/projects/neuro-variants/variant_position/credible/roussos_2024/variant_figures/roussos_2024.adolescence.Astrocyte/rs2555385_count_position.png",4,220,900)</f>
        <v/>
      </c>
      <c r="T1298">
        <f>IMAGE("https://mitra.stanford.edu/kundaje/oak/projects/neuro-variants/variant_position/credible/roussos_2024/variant_figures/roussos_2024.adolescence.Astrocyte/rs2555385_profile_position.png",4,220,900)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0.023037004164</v>
      </c>
      <c r="G1299" t="n">
        <v>0.4726540198230126</v>
      </c>
      <c r="H1299" t="n">
        <v>0.0128942205630736</v>
      </c>
      <c r="I1299" t="n">
        <v>0.4717279769668907</v>
      </c>
      <c r="J1299" t="n">
        <v>0.0198543156395572</v>
      </c>
      <c r="K1299" t="n">
        <v>0.5766391209018531</v>
      </c>
      <c r="L1299" t="b">
        <v>0</v>
      </c>
      <c r="M1299" t="b">
        <v>0</v>
      </c>
      <c r="N1299" t="inlineStr">
        <is>
          <t>alt</t>
        </is>
      </c>
      <c r="O1299" t="n">
        <v>-50</v>
      </c>
      <c r="P1299" t="n">
        <v>0.03192</v>
      </c>
      <c r="Q1299" t="n">
        <v>-65</v>
      </c>
      <c r="R1299" t="n">
        <v>0.1317</v>
      </c>
      <c r="S1299">
        <f>IMAGE("https://mitra.stanford.edu/kundaje/oak/projects/neuro-variants/variant_position/credible/roussos_2024/variant_figures/roussos_2024.adolescence.Astrocyte/rs2114422_count_position.png",4,220,900)</f>
        <v/>
      </c>
      <c r="T1299">
        <f>IMAGE("https://mitra.stanford.edu/kundaje/oak/projects/neuro-variants/variant_position/credible/roussos_2024/variant_figures/roussos_2024.adolescence.Astrocyte/rs2114422_profile_position.png",4,220,900)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-0.00533298542</v>
      </c>
      <c r="G1300" t="n">
        <v>0.8725047424124257</v>
      </c>
      <c r="H1300" t="n">
        <v>0.0395598335074292</v>
      </c>
      <c r="I1300" t="n">
        <v>0.0104865774401214</v>
      </c>
      <c r="J1300" t="n">
        <v>0.0017068213512149</v>
      </c>
      <c r="K1300" t="n">
        <v>0.8365075450172458</v>
      </c>
      <c r="L1300" t="b">
        <v>0</v>
      </c>
      <c r="M1300" t="b">
        <v>0</v>
      </c>
      <c r="N1300" t="inlineStr">
        <is>
          <t>ref</t>
        </is>
      </c>
      <c r="O1300" t="n">
        <v>-70</v>
      </c>
      <c r="P1300" t="n">
        <v>0.00873</v>
      </c>
      <c r="Q1300" t="n">
        <v>-25</v>
      </c>
      <c r="R1300" t="n">
        <v>0.05246</v>
      </c>
      <c r="S1300">
        <f>IMAGE("https://mitra.stanford.edu/kundaje/oak/projects/neuro-variants/variant_position/credible/roussos_2024/variant_figures/roussos_2024.adolescence.Astrocyte/rs8042697_count_position.png",4,220,900)</f>
        <v/>
      </c>
      <c r="T1300">
        <f>IMAGE("https://mitra.stanford.edu/kundaje/oak/projects/neuro-variants/variant_position/credible/roussos_2024/variant_figures/roussos_2024.adolescence.Astrocyte/rs8042697_profile_position.png",4,220,900)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0.00429945518</v>
      </c>
      <c r="G1301" t="n">
        <v>0.8263267243449433</v>
      </c>
      <c r="H1301" t="n">
        <v>0.0259685171875361</v>
      </c>
      <c r="I1301" t="n">
        <v>0.0543859359904568</v>
      </c>
      <c r="J1301" t="n">
        <v>0.0032949589057353</v>
      </c>
      <c r="K1301" t="n">
        <v>0.7773249068759183</v>
      </c>
      <c r="L1301" t="b">
        <v>0</v>
      </c>
      <c r="M1301" t="b">
        <v>0</v>
      </c>
      <c r="N1301" t="inlineStr">
        <is>
          <t>alt</t>
        </is>
      </c>
      <c r="O1301" t="n">
        <v>-100</v>
      </c>
      <c r="P1301" t="n">
        <v>0.2152</v>
      </c>
      <c r="Q1301" t="n">
        <v>-95</v>
      </c>
      <c r="R1301" t="n">
        <v>0.2384</v>
      </c>
      <c r="S1301">
        <f>IMAGE("https://mitra.stanford.edu/kundaje/oak/projects/neuro-variants/variant_position/credible/roussos_2024/variant_figures/roussos_2024.adolescence.Astrocyte/rs2706472_count_position.png",4,220,900)</f>
        <v/>
      </c>
      <c r="T1301">
        <f>IMAGE("https://mitra.stanford.edu/kundaje/oak/projects/neuro-variants/variant_position/credible/roussos_2024/variant_figures/roussos_2024.adolescence.Astrocyte/rs2706472_profile_position.png",4,220,900)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-0.371464752</v>
      </c>
      <c r="G1302" t="n">
        <v>0.0033060555760366</v>
      </c>
      <c r="H1302" t="n">
        <v>0.0398433993210057</v>
      </c>
      <c r="I1302" t="n">
        <v>0.010000015284409</v>
      </c>
      <c r="J1302" t="n">
        <v>0.2547896329703586</v>
      </c>
      <c r="K1302" t="n">
        <v>0.1626003687704858</v>
      </c>
      <c r="L1302" t="b">
        <v>1</v>
      </c>
      <c r="M1302" t="b">
        <v>1</v>
      </c>
      <c r="N1302" t="inlineStr">
        <is>
          <t>ref</t>
        </is>
      </c>
      <c r="O1302" t="n">
        <v>-10</v>
      </c>
      <c r="P1302" t="n">
        <v>0.004303</v>
      </c>
      <c r="Q1302" t="n">
        <v>55</v>
      </c>
      <c r="R1302" t="n">
        <v>0.2388</v>
      </c>
      <c r="S1302">
        <f>IMAGE("https://mitra.stanford.edu/kundaje/oak/projects/neuro-variants/variant_position/credible/roussos_2024/variant_figures/roussos_2024.adolescence.Astrocyte/rs1427281_count_position.png",4,220,900)</f>
        <v/>
      </c>
      <c r="T1302">
        <f>IMAGE("https://mitra.stanford.edu/kundaje/oak/projects/neuro-variants/variant_position/credible/roussos_2024/variant_figures/roussos_2024.adolescence.Astrocyte/rs1427281_profile_position.png",4,220,900)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-0.0043892879399999</v>
      </c>
      <c r="G1303" t="n">
        <v>0.6792032263820242</v>
      </c>
      <c r="H1303" t="n">
        <v>0.0196383541777793</v>
      </c>
      <c r="I1303" t="n">
        <v>0.1446728532758886</v>
      </c>
      <c r="J1303" t="n">
        <v>0.0167180963119009</v>
      </c>
      <c r="K1303" t="n">
        <v>0.6007833137872103</v>
      </c>
      <c r="L1303" t="b">
        <v>0</v>
      </c>
      <c r="M1303" t="b">
        <v>0</v>
      </c>
      <c r="N1303" t="inlineStr">
        <is>
          <t>ref</t>
        </is>
      </c>
      <c r="O1303" t="n">
        <v>10</v>
      </c>
      <c r="P1303" t="n">
        <v>0.000702</v>
      </c>
      <c r="Q1303" t="n">
        <v>35</v>
      </c>
      <c r="R1303" t="n">
        <v>0.0464</v>
      </c>
      <c r="S1303">
        <f>IMAGE("https://mitra.stanford.edu/kundaje/oak/projects/neuro-variants/variant_position/credible/roussos_2024/variant_figures/roussos_2024.adolescence.Astrocyte/rs74017282_count_position.png",4,220,900)</f>
        <v/>
      </c>
      <c r="T1303">
        <f>IMAGE("https://mitra.stanford.edu/kundaje/oak/projects/neuro-variants/variant_position/credible/roussos_2024/variant_figures/roussos_2024.adolescence.Astrocyte/rs74017282_profile_position.png",4,220,900)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0.02279602332</v>
      </c>
      <c r="G1304" t="n">
        <v>0.5110696446102959</v>
      </c>
      <c r="H1304" t="n">
        <v>0.0124018079778881</v>
      </c>
      <c r="I1304" t="n">
        <v>0.5197987742396672</v>
      </c>
      <c r="J1304" t="n">
        <v>0.0033164703438862</v>
      </c>
      <c r="K1304" t="n">
        <v>0.7766091547833158</v>
      </c>
      <c r="L1304" t="b">
        <v>0</v>
      </c>
      <c r="M1304" t="b">
        <v>0</v>
      </c>
      <c r="N1304" t="inlineStr">
        <is>
          <t>alt</t>
        </is>
      </c>
      <c r="O1304" t="n">
        <v>-100</v>
      </c>
      <c r="P1304" t="n">
        <v>0.009520000000000001</v>
      </c>
      <c r="Q1304" t="n">
        <v>-70</v>
      </c>
      <c r="R1304" t="n">
        <v>0.02692</v>
      </c>
      <c r="S1304">
        <f>IMAGE("https://mitra.stanford.edu/kundaje/oak/projects/neuro-variants/variant_position/credible/roussos_2024/variant_figures/roussos_2024.adolescence.Astrocyte/rs12912003_count_position.png",4,220,900)</f>
        <v/>
      </c>
      <c r="T1304">
        <f>IMAGE("https://mitra.stanford.edu/kundaje/oak/projects/neuro-variants/variant_position/credible/roussos_2024/variant_figures/roussos_2024.adolescence.Astrocyte/rs12912003_profile_position.png",4,220,900)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0.06525609540000001</v>
      </c>
      <c r="G1305" t="n">
        <v>0.1583497619446145</v>
      </c>
      <c r="H1305" t="n">
        <v>0.0124036942144969</v>
      </c>
      <c r="I1305" t="n">
        <v>0.5149009066787061</v>
      </c>
      <c r="J1305" t="n">
        <v>0.0512580482449632</v>
      </c>
      <c r="K1305" t="n">
        <v>0.4354478514406493</v>
      </c>
      <c r="L1305" t="b">
        <v>0</v>
      </c>
      <c r="M1305" t="b">
        <v>0</v>
      </c>
      <c r="N1305" t="inlineStr">
        <is>
          <t>alt</t>
        </is>
      </c>
      <c r="O1305" t="n">
        <v>-90</v>
      </c>
      <c r="P1305" t="n">
        <v>0.01614</v>
      </c>
      <c r="Q1305" t="n">
        <v>-90</v>
      </c>
      <c r="R1305" t="n">
        <v>0.1118</v>
      </c>
      <c r="S1305">
        <f>IMAGE("https://mitra.stanford.edu/kundaje/oak/projects/neuro-variants/variant_position/credible/roussos_2024/variant_figures/roussos_2024.adolescence.Astrocyte/rs640704_count_position.png",4,220,900)</f>
        <v/>
      </c>
      <c r="T1305">
        <f>IMAGE("https://mitra.stanford.edu/kundaje/oak/projects/neuro-variants/variant_position/credible/roussos_2024/variant_figures/roussos_2024.adolescence.Astrocyte/rs640704_profile_position.png",4,220,900)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-0.0188378168</v>
      </c>
      <c r="G1306" t="n">
        <v>0.5742347237118345</v>
      </c>
      <c r="H1306" t="n">
        <v>0.0127636422022472</v>
      </c>
      <c r="I1306" t="n">
        <v>0.4887308688941157</v>
      </c>
      <c r="J1306" t="n">
        <v>0.0174836068005815</v>
      </c>
      <c r="K1306" t="n">
        <v>0.5962447889768078</v>
      </c>
      <c r="L1306" t="b">
        <v>0</v>
      </c>
      <c r="M1306" t="b">
        <v>0</v>
      </c>
      <c r="N1306" t="inlineStr">
        <is>
          <t>ref</t>
        </is>
      </c>
      <c r="O1306" t="n">
        <v>-30</v>
      </c>
      <c r="P1306" t="n">
        <v>0.002235</v>
      </c>
      <c r="Q1306" t="n">
        <v>-15</v>
      </c>
      <c r="R1306" t="n">
        <v>0.03088</v>
      </c>
      <c r="S1306">
        <f>IMAGE("https://mitra.stanford.edu/kundaje/oak/projects/neuro-variants/variant_position/credible/roussos_2024/variant_figures/roussos_2024.adolescence.Astrocyte/rs12437952_count_position.png",4,220,900)</f>
        <v/>
      </c>
      <c r="T1306">
        <f>IMAGE("https://mitra.stanford.edu/kundaje/oak/projects/neuro-variants/variant_position/credible/roussos_2024/variant_figures/roussos_2024.adolescence.Astrocyte/rs12437952_profile_position.png",4,220,900)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1.884884000000007e-05</v>
      </c>
      <c r="G1307" t="n">
        <v>0.8682484308151539</v>
      </c>
      <c r="H1307" t="n">
        <v>0.0141889395401706</v>
      </c>
      <c r="I1307" t="n">
        <v>0.3753694470741547</v>
      </c>
      <c r="J1307" t="n">
        <v>0.0068072575141678</v>
      </c>
      <c r="K1307" t="n">
        <v>0.7034192682181009</v>
      </c>
      <c r="L1307" t="b">
        <v>0</v>
      </c>
      <c r="M1307" t="b">
        <v>0</v>
      </c>
      <c r="N1307" t="inlineStr">
        <is>
          <t>alt</t>
        </is>
      </c>
      <c r="O1307" t="n">
        <v>-95</v>
      </c>
      <c r="P1307" t="n">
        <v>0.01129</v>
      </c>
      <c r="Q1307" t="n">
        <v>50</v>
      </c>
      <c r="R1307" t="n">
        <v>0.1083</v>
      </c>
      <c r="S1307">
        <f>IMAGE("https://mitra.stanford.edu/kundaje/oak/projects/neuro-variants/variant_position/credible/roussos_2024/variant_figures/roussos_2024.adolescence.Astrocyte/rs8025383_count_position.png",4,220,900)</f>
        <v/>
      </c>
      <c r="T1307">
        <f>IMAGE("https://mitra.stanford.edu/kundaje/oak/projects/neuro-variants/variant_position/credible/roussos_2024/variant_figures/roussos_2024.adolescence.Astrocyte/rs8025383_profile_position.png",4,220,900)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-0.0172612675999999</v>
      </c>
      <c r="G1308" t="n">
        <v>0.5928693076158957</v>
      </c>
      <c r="H1308" t="n">
        <v>0.0242039443394468</v>
      </c>
      <c r="I1308" t="n">
        <v>0.07168735081550991</v>
      </c>
      <c r="J1308" t="n">
        <v>0.0118750556330296</v>
      </c>
      <c r="K1308" t="n">
        <v>0.6479520606353079</v>
      </c>
      <c r="L1308" t="b">
        <v>0</v>
      </c>
      <c r="M1308" t="b">
        <v>0</v>
      </c>
      <c r="N1308" t="inlineStr">
        <is>
          <t>ref</t>
        </is>
      </c>
      <c r="O1308" t="n">
        <v>-90</v>
      </c>
      <c r="P1308" t="n">
        <v>0.014465</v>
      </c>
      <c r="Q1308" t="n">
        <v>-95</v>
      </c>
      <c r="R1308" t="n">
        <v>0.08356</v>
      </c>
      <c r="S1308">
        <f>IMAGE("https://mitra.stanford.edu/kundaje/oak/projects/neuro-variants/variant_position/credible/roussos_2024/variant_figures/roussos_2024.adolescence.Astrocyte/rs474875_count_position.png",4,220,900)</f>
        <v/>
      </c>
      <c r="T1308">
        <f>IMAGE("https://mitra.stanford.edu/kundaje/oak/projects/neuro-variants/variant_position/credible/roussos_2024/variant_figures/roussos_2024.adolescence.Astrocyte/rs474875_profile_position.png",4,220,900)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-0.00726026348</v>
      </c>
      <c r="G1309" t="n">
        <v>0.8169302073988652</v>
      </c>
      <c r="H1309" t="n">
        <v>0.0309920183976693</v>
      </c>
      <c r="I1309" t="n">
        <v>0.0274264563411972</v>
      </c>
      <c r="J1309" t="n">
        <v>0.0041361303148087</v>
      </c>
      <c r="K1309" t="n">
        <v>0.7725493211354145</v>
      </c>
      <c r="L1309" t="b">
        <v>0</v>
      </c>
      <c r="M1309" t="b">
        <v>0</v>
      </c>
      <c r="N1309" t="inlineStr">
        <is>
          <t>ref</t>
        </is>
      </c>
      <c r="O1309" t="n">
        <v>-100</v>
      </c>
      <c r="P1309" t="n">
        <v>0.03592</v>
      </c>
      <c r="Q1309" t="n">
        <v>-45</v>
      </c>
      <c r="R1309" t="n">
        <v>0.0791</v>
      </c>
      <c r="S1309">
        <f>IMAGE("https://mitra.stanford.edu/kundaje/oak/projects/neuro-variants/variant_position/credible/roussos_2024/variant_figures/roussos_2024.adolescence.Astrocyte/rs793571_count_position.png",4,220,900)</f>
        <v/>
      </c>
      <c r="T1309">
        <f>IMAGE("https://mitra.stanford.edu/kundaje/oak/projects/neuro-variants/variant_position/credible/roussos_2024/variant_figures/roussos_2024.adolescence.Astrocyte/rs793571_profile_position.png",4,220,900)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-0.0065237206939999</v>
      </c>
      <c r="G1310" t="n">
        <v>0.3931562774572943</v>
      </c>
      <c r="H1310" t="n">
        <v>0.0107808170558744</v>
      </c>
      <c r="I1310" t="n">
        <v>0.678272748225589</v>
      </c>
      <c r="J1310" t="n">
        <v>0.0354834881167848</v>
      </c>
      <c r="K1310" t="n">
        <v>0.4852375620879618</v>
      </c>
      <c r="L1310" t="b">
        <v>0</v>
      </c>
      <c r="M1310" t="b">
        <v>0</v>
      </c>
      <c r="N1310" t="inlineStr">
        <is>
          <t>ref</t>
        </is>
      </c>
      <c r="O1310" t="n">
        <v>-90</v>
      </c>
      <c r="P1310" t="n">
        <v>0.046</v>
      </c>
      <c r="Q1310" t="n">
        <v>80</v>
      </c>
      <c r="R1310" t="n">
        <v>0.1121</v>
      </c>
      <c r="S1310">
        <f>IMAGE("https://mitra.stanford.edu/kundaje/oak/projects/neuro-variants/variant_position/credible/roussos_2024/variant_figures/roussos_2024.adolescence.Astrocyte/rs7179456_count_position.png",4,220,900)</f>
        <v/>
      </c>
      <c r="T1310">
        <f>IMAGE("https://mitra.stanford.edu/kundaje/oak/projects/neuro-variants/variant_position/credible/roussos_2024/variant_figures/roussos_2024.adolescence.Astrocyte/rs7179456_profile_position.png",4,220,900)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0.03906108764</v>
      </c>
      <c r="G1311" t="n">
        <v>0.3389912564951729</v>
      </c>
      <c r="H1311" t="n">
        <v>0.0178698545064995</v>
      </c>
      <c r="I1311" t="n">
        <v>0.194360171919193</v>
      </c>
      <c r="J1311" t="n">
        <v>0.3030130848885855</v>
      </c>
      <c r="K1311" t="n">
        <v>0.1308889740937724</v>
      </c>
      <c r="L1311" t="b">
        <v>0</v>
      </c>
      <c r="M1311" t="b">
        <v>0</v>
      </c>
      <c r="N1311" t="inlineStr">
        <is>
          <t>alt</t>
        </is>
      </c>
      <c r="O1311" t="n">
        <v>15</v>
      </c>
      <c r="P1311" t="n">
        <v>0.001572</v>
      </c>
      <c r="Q1311" t="n">
        <v>-35</v>
      </c>
      <c r="R1311" t="n">
        <v>0.1564</v>
      </c>
      <c r="S1311">
        <f>IMAGE("https://mitra.stanford.edu/kundaje/oak/projects/neuro-variants/variant_position/credible/roussos_2024/variant_figures/roussos_2024.adolescence.Astrocyte/rs2270664_count_position.png",4,220,900)</f>
        <v/>
      </c>
      <c r="T1311">
        <f>IMAGE("https://mitra.stanford.edu/kundaje/oak/projects/neuro-variants/variant_position/credible/roussos_2024/variant_figures/roussos_2024.adolescence.Astrocyte/rs2270664_profile_position.png",4,220,900)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0.009508026419999999</v>
      </c>
      <c r="G1312" t="n">
        <v>0.7445980746402604</v>
      </c>
      <c r="H1312" t="n">
        <v>0.0237811849782352</v>
      </c>
      <c r="I1312" t="n">
        <v>0.075800010630981</v>
      </c>
      <c r="J1312" t="n">
        <v>0.0001980535857341</v>
      </c>
      <c r="K1312" t="n">
        <v>0.9605578810818244</v>
      </c>
      <c r="L1312" t="b">
        <v>0</v>
      </c>
      <c r="M1312" t="b">
        <v>0</v>
      </c>
      <c r="N1312" t="inlineStr">
        <is>
          <t>alt</t>
        </is>
      </c>
      <c r="O1312" t="n">
        <v>-100</v>
      </c>
      <c r="P1312" t="n">
        <v>0.00852</v>
      </c>
      <c r="Q1312" t="n">
        <v>85</v>
      </c>
      <c r="R1312" t="n">
        <v>0.06476</v>
      </c>
      <c r="S1312">
        <f>IMAGE("https://mitra.stanford.edu/kundaje/oak/projects/neuro-variants/variant_position/credible/roussos_2024/variant_figures/roussos_2024.adolescence.Astrocyte/rs11071400_count_position.png",4,220,900)</f>
        <v/>
      </c>
      <c r="T1312">
        <f>IMAGE("https://mitra.stanford.edu/kundaje/oak/projects/neuro-variants/variant_position/credible/roussos_2024/variant_figures/roussos_2024.adolescence.Astrocyte/rs11071400_profile_position.png",4,220,900)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0.0575559373999999</v>
      </c>
      <c r="G1313" t="n">
        <v>0.1979608684890869</v>
      </c>
      <c r="H1313" t="n">
        <v>0.0183860159349835</v>
      </c>
      <c r="I1313" t="n">
        <v>0.1802335464853517</v>
      </c>
      <c r="J1313" t="n">
        <v>0.0039054386849834</v>
      </c>
      <c r="K1313" t="n">
        <v>0.7604589372051125</v>
      </c>
      <c r="L1313" t="b">
        <v>0</v>
      </c>
      <c r="M1313" t="b">
        <v>0</v>
      </c>
      <c r="N1313" t="inlineStr">
        <is>
          <t>alt</t>
        </is>
      </c>
      <c r="O1313" t="n">
        <v>-70</v>
      </c>
      <c r="P1313" t="n">
        <v>0.1027</v>
      </c>
      <c r="Q1313" t="n">
        <v>100</v>
      </c>
      <c r="R1313" t="n">
        <v>0.1322</v>
      </c>
      <c r="S1313">
        <f>IMAGE("https://mitra.stanford.edu/kundaje/oak/projects/neuro-variants/variant_position/credible/roussos_2024/variant_figures/roussos_2024.adolescence.Astrocyte/rs11857223_count_position.png",4,220,900)</f>
        <v/>
      </c>
      <c r="T1313">
        <f>IMAGE("https://mitra.stanford.edu/kundaje/oak/projects/neuro-variants/variant_position/credible/roussos_2024/variant_figures/roussos_2024.adolescence.Astrocyte/rs11857223_profile_position.png",4,220,900)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-0.0274860048</v>
      </c>
      <c r="G1314" t="n">
        <v>0.4466033232637936</v>
      </c>
      <c r="H1314" t="n">
        <v>0.0082491160079004</v>
      </c>
      <c r="I1314" t="n">
        <v>0.8937599351265193</v>
      </c>
      <c r="J1314" t="n">
        <v>0.0030138266623148</v>
      </c>
      <c r="K1314" t="n">
        <v>0.7850571324691565</v>
      </c>
      <c r="L1314" t="b">
        <v>0</v>
      </c>
      <c r="M1314" t="b">
        <v>0</v>
      </c>
      <c r="N1314" t="inlineStr">
        <is>
          <t>ref</t>
        </is>
      </c>
      <c r="O1314" t="n">
        <v>-5</v>
      </c>
      <c r="P1314" t="n">
        <v>0.0004387</v>
      </c>
      <c r="Q1314" t="n">
        <v>-95</v>
      </c>
      <c r="R1314" t="n">
        <v>0.1604</v>
      </c>
      <c r="S1314">
        <f>IMAGE("https://mitra.stanford.edu/kundaje/oak/projects/neuro-variants/variant_position/credible/roussos_2024/variant_figures/roussos_2024.adolescence.Astrocyte/rs4774315_count_position.png",4,220,900)</f>
        <v/>
      </c>
      <c r="T1314">
        <f>IMAGE("https://mitra.stanford.edu/kundaje/oak/projects/neuro-variants/variant_position/credible/roussos_2024/variant_figures/roussos_2024.adolescence.Astrocyte/rs4774315_profile_position.png",4,220,900)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0.303513002</v>
      </c>
      <c r="G1315" t="n">
        <v>0.0070480013570373</v>
      </c>
      <c r="H1315" t="n">
        <v>0.0381788765322787</v>
      </c>
      <c r="I1315" t="n">
        <v>0.0132467514340078</v>
      </c>
      <c r="J1315" t="n">
        <v>0.0100666112808948</v>
      </c>
      <c r="K1315" t="n">
        <v>0.6596620864709226</v>
      </c>
      <c r="L1315" t="b">
        <v>1</v>
      </c>
      <c r="M1315" t="b">
        <v>1</v>
      </c>
      <c r="N1315" t="inlineStr">
        <is>
          <t>alt</t>
        </is>
      </c>
      <c r="O1315" t="n">
        <v>-25</v>
      </c>
      <c r="P1315" t="n">
        <v>0.002258</v>
      </c>
      <c r="Q1315" t="n">
        <v>90</v>
      </c>
      <c r="R1315" t="n">
        <v>0.115</v>
      </c>
      <c r="S1315">
        <f>IMAGE("https://mitra.stanford.edu/kundaje/oak/projects/neuro-variants/variant_position/credible/roussos_2024/variant_figures/roussos_2024.adolescence.Astrocyte/rs4775106_count_position.png",4,220,900)</f>
        <v/>
      </c>
      <c r="T1315">
        <f>IMAGE("https://mitra.stanford.edu/kundaje/oak/projects/neuro-variants/variant_position/credible/roussos_2024/variant_figures/roussos_2024.adolescence.Astrocyte/rs4775106_profile_position.png",4,220,900)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-0.0055624717199999</v>
      </c>
      <c r="G1316" t="n">
        <v>0.693387487977676</v>
      </c>
      <c r="H1316" t="n">
        <v>0.0228121279327408</v>
      </c>
      <c r="I1316" t="n">
        <v>0.0870725981271039</v>
      </c>
      <c r="J1316" t="n">
        <v>0.0266400617155742</v>
      </c>
      <c r="K1316" t="n">
        <v>0.5379572839559452</v>
      </c>
      <c r="L1316" t="b">
        <v>0</v>
      </c>
      <c r="M1316" t="b">
        <v>0</v>
      </c>
      <c r="N1316" t="inlineStr">
        <is>
          <t>ref</t>
        </is>
      </c>
      <c r="O1316" t="n">
        <v>-75</v>
      </c>
      <c r="P1316" t="n">
        <v>0.02661</v>
      </c>
      <c r="Q1316" t="n">
        <v>-65</v>
      </c>
      <c r="R1316" t="n">
        <v>0.1202</v>
      </c>
      <c r="S1316">
        <f>IMAGE("https://mitra.stanford.edu/kundaje/oak/projects/neuro-variants/variant_position/credible/roussos_2024/variant_figures/roussos_2024.adolescence.Astrocyte/rs8042896_count_position.png",4,220,900)</f>
        <v/>
      </c>
      <c r="T1316">
        <f>IMAGE("https://mitra.stanford.edu/kundaje/oak/projects/neuro-variants/variant_position/credible/roussos_2024/variant_figures/roussos_2024.adolescence.Astrocyte/rs8042896_profile_position.png",4,220,900)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0.0513406410999999</v>
      </c>
      <c r="G1317" t="n">
        <v>0.2162263193855505</v>
      </c>
      <c r="H1317" t="n">
        <v>0.06423804575666631</v>
      </c>
      <c r="I1317" t="n">
        <v>0.0015797222353128</v>
      </c>
      <c r="J1317" t="n">
        <v>0.0245082040174464</v>
      </c>
      <c r="K1317" t="n">
        <v>0.5464442312485813</v>
      </c>
      <c r="L1317" t="b">
        <v>1</v>
      </c>
      <c r="M1317" t="b">
        <v>0</v>
      </c>
      <c r="N1317" t="inlineStr">
        <is>
          <t>alt</t>
        </is>
      </c>
      <c r="O1317" t="n">
        <v>45</v>
      </c>
      <c r="P1317" t="n">
        <v>0.006104</v>
      </c>
      <c r="Q1317" t="n">
        <v>45</v>
      </c>
      <c r="R1317" t="n">
        <v>0.074</v>
      </c>
      <c r="S1317">
        <f>IMAGE("https://mitra.stanford.edu/kundaje/oak/projects/neuro-variants/variant_position/credible/roussos_2024/variant_figures/roussos_2024.adolescence.Astrocyte/rs78352043_count_position.png",4,220,900)</f>
        <v/>
      </c>
      <c r="T1317">
        <f>IMAGE("https://mitra.stanford.edu/kundaje/oak/projects/neuro-variants/variant_position/credible/roussos_2024/variant_figures/roussos_2024.adolescence.Astrocyte/rs78352043_profile_position.png",4,220,900)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0.0391046472799999</v>
      </c>
      <c r="G1318" t="n">
        <v>0.3360628302312479</v>
      </c>
      <c r="H1318" t="n">
        <v>0.015623225422353</v>
      </c>
      <c r="I1318" t="n">
        <v>0.2936384185678846</v>
      </c>
      <c r="J1318" t="n">
        <v>0.0563488413494347</v>
      </c>
      <c r="K1318" t="n">
        <v>0.4279482175186997</v>
      </c>
      <c r="L1318" t="b">
        <v>0</v>
      </c>
      <c r="M1318" t="b">
        <v>0</v>
      </c>
      <c r="N1318" t="inlineStr">
        <is>
          <t>alt</t>
        </is>
      </c>
      <c r="O1318" t="n">
        <v>45</v>
      </c>
      <c r="P1318" t="n">
        <v>0.002243</v>
      </c>
      <c r="Q1318" t="n">
        <v>70</v>
      </c>
      <c r="R1318" t="n">
        <v>0.2083</v>
      </c>
      <c r="S1318">
        <f>IMAGE("https://mitra.stanford.edu/kundaje/oak/projects/neuro-variants/variant_position/credible/roussos_2024/variant_figures/roussos_2024.adolescence.Astrocyte/rs11633501_count_position.png",4,220,900)</f>
        <v/>
      </c>
      <c r="T1318">
        <f>IMAGE("https://mitra.stanford.edu/kundaje/oak/projects/neuro-variants/variant_position/credible/roussos_2024/variant_figures/roussos_2024.adolescence.Astrocyte/rs11633501_profile_position.png",4,220,900)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-0.0326694997999999</v>
      </c>
      <c r="G1319" t="n">
        <v>0.3791946227040371</v>
      </c>
      <c r="H1319" t="n">
        <v>0.0087309408862178</v>
      </c>
      <c r="I1319" t="n">
        <v>0.8532646002771329</v>
      </c>
      <c r="J1319" t="n">
        <v>0.0668716434738746</v>
      </c>
      <c r="K1319" t="n">
        <v>0.4033408076586291</v>
      </c>
      <c r="L1319" t="b">
        <v>0</v>
      </c>
      <c r="M1319" t="b">
        <v>0</v>
      </c>
      <c r="N1319" t="inlineStr">
        <is>
          <t>ref</t>
        </is>
      </c>
      <c r="O1319" t="n">
        <v>70</v>
      </c>
      <c r="P1319" t="n">
        <v>0.01148</v>
      </c>
      <c r="Q1319" t="n">
        <v>-65</v>
      </c>
      <c r="R1319" t="n">
        <v>0.0982</v>
      </c>
      <c r="S1319">
        <f>IMAGE("https://mitra.stanford.edu/kundaje/oak/projects/neuro-variants/variant_position/credible/roussos_2024/variant_figures/roussos_2024.adolescence.Astrocyte/rs4635285_count_position.png",4,220,900)</f>
        <v/>
      </c>
      <c r="T1319">
        <f>IMAGE("https://mitra.stanford.edu/kundaje/oak/projects/neuro-variants/variant_position/credible/roussos_2024/variant_figures/roussos_2024.adolescence.Astrocyte/rs4635285_profile_position.png",4,220,900)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0.1264552111999999</v>
      </c>
      <c r="G1320" t="n">
        <v>0.0481191588483307</v>
      </c>
      <c r="H1320" t="n">
        <v>0.0327206401985133</v>
      </c>
      <c r="I1320" t="n">
        <v>0.0231375824512955</v>
      </c>
      <c r="J1320" t="n">
        <v>0.1677513871168738</v>
      </c>
      <c r="K1320" t="n">
        <v>0.2331149941493845</v>
      </c>
      <c r="L1320" t="b">
        <v>0</v>
      </c>
      <c r="M1320" t="b">
        <v>0</v>
      </c>
      <c r="N1320" t="inlineStr">
        <is>
          <t>alt</t>
        </is>
      </c>
      <c r="O1320" t="n">
        <v>-65</v>
      </c>
      <c r="P1320" t="n">
        <v>0.005188</v>
      </c>
      <c r="Q1320" t="n">
        <v>-45</v>
      </c>
      <c r="R1320" t="n">
        <v>0.1018</v>
      </c>
      <c r="S1320">
        <f>IMAGE("https://mitra.stanford.edu/kundaje/oak/projects/neuro-variants/variant_position/credible/roussos_2024/variant_figures/roussos_2024.adolescence.Astrocyte/rs55835773_count_position.png",4,220,900)</f>
        <v/>
      </c>
      <c r="T1320">
        <f>IMAGE("https://mitra.stanford.edu/kundaje/oak/projects/neuro-variants/variant_position/credible/roussos_2024/variant_figures/roussos_2024.adolescence.Astrocyte/rs55835773_profile_position.png",4,220,900)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-0.1682376508</v>
      </c>
      <c r="G1321" t="n">
        <v>0.0375519785399216</v>
      </c>
      <c r="H1321" t="n">
        <v>0.04846578265956</v>
      </c>
      <c r="I1321" t="n">
        <v>0.0064156524906368</v>
      </c>
      <c r="J1321" t="n">
        <v>0.1297725721745838</v>
      </c>
      <c r="K1321" t="n">
        <v>0.2776911788743798</v>
      </c>
      <c r="L1321" t="b">
        <v>1</v>
      </c>
      <c r="M1321" t="b">
        <v>1</v>
      </c>
      <c r="N1321" t="inlineStr">
        <is>
          <t>ref</t>
        </is>
      </c>
      <c r="O1321" t="n">
        <v>-90</v>
      </c>
      <c r="P1321" t="n">
        <v>0.00711</v>
      </c>
      <c r="Q1321" t="n">
        <v>-60</v>
      </c>
      <c r="R1321" t="n">
        <v>0.1157</v>
      </c>
      <c r="S1321">
        <f>IMAGE("https://mitra.stanford.edu/kundaje/oak/projects/neuro-variants/variant_position/credible/roussos_2024/variant_figures/roussos_2024.adolescence.Astrocyte/rs55835940_count_position.png",4,220,900)</f>
        <v/>
      </c>
      <c r="T1321">
        <f>IMAGE("https://mitra.stanford.edu/kundaje/oak/projects/neuro-variants/variant_position/credible/roussos_2024/variant_figures/roussos_2024.adolescence.Astrocyte/rs55835940_profile_position.png",4,220,900)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-0.0207661078</v>
      </c>
      <c r="G1322" t="n">
        <v>0.5377948534870042</v>
      </c>
      <c r="H1322" t="n">
        <v>0.0150001455084515</v>
      </c>
      <c r="I1322" t="n">
        <v>0.3222193768044911</v>
      </c>
      <c r="J1322" t="n">
        <v>0.678144378838679</v>
      </c>
      <c r="K1322" t="n">
        <v>0.0210508874820408</v>
      </c>
      <c r="L1322" t="b">
        <v>0</v>
      </c>
      <c r="M1322" t="b">
        <v>0</v>
      </c>
      <c r="N1322" t="inlineStr">
        <is>
          <t>ref</t>
        </is>
      </c>
      <c r="O1322" t="n">
        <v>-100</v>
      </c>
      <c r="P1322" t="n">
        <v>0.0561</v>
      </c>
      <c r="Q1322" t="n">
        <v>100</v>
      </c>
      <c r="R1322" t="n">
        <v>0.6006</v>
      </c>
      <c r="S1322">
        <f>IMAGE("https://mitra.stanford.edu/kundaje/oak/projects/neuro-variants/variant_position/credible/roussos_2024/variant_figures/roussos_2024.adolescence.Astrocyte/rs7169676_count_position.png",4,220,900)</f>
        <v/>
      </c>
      <c r="T1322">
        <f>IMAGE("https://mitra.stanford.edu/kundaje/oak/projects/neuro-variants/variant_position/credible/roussos_2024/variant_figures/roussos_2024.adolescence.Astrocyte/rs7169676_profile_position.png",4,220,900)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0.291762034</v>
      </c>
      <c r="G1323" t="n">
        <v>0.0066426455204425</v>
      </c>
      <c r="H1323" t="n">
        <v>0.0268853737701887</v>
      </c>
      <c r="I1323" t="n">
        <v>0.0489025757835377</v>
      </c>
      <c r="J1323" t="n">
        <v>0.002427825416135</v>
      </c>
      <c r="K1323" t="n">
        <v>0.9025222607366898</v>
      </c>
      <c r="L1323" t="b">
        <v>1</v>
      </c>
      <c r="M1323" t="b">
        <v>1</v>
      </c>
      <c r="N1323" t="inlineStr">
        <is>
          <t>alt</t>
        </is>
      </c>
      <c r="O1323" t="n">
        <v>-90</v>
      </c>
      <c r="P1323" t="n">
        <v>0.009140000000000001</v>
      </c>
      <c r="Q1323" t="n">
        <v>-100</v>
      </c>
      <c r="R1323" t="n">
        <v>0.2651</v>
      </c>
      <c r="S1323">
        <f>IMAGE("https://mitra.stanford.edu/kundaje/oak/projects/neuro-variants/variant_position/credible/roussos_2024/variant_figures/roussos_2024.adolescence.Astrocyte/rs28620094_count_position.png",4,220,900)</f>
        <v/>
      </c>
      <c r="T1323">
        <f>IMAGE("https://mitra.stanford.edu/kundaje/oak/projects/neuro-variants/variant_position/credible/roussos_2024/variant_figures/roussos_2024.adolescence.Astrocyte/rs28620094_profile_position.png",4,220,900)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-0.0596128268</v>
      </c>
      <c r="G1324" t="n">
        <v>0.1848838064318349</v>
      </c>
      <c r="H1324" t="n">
        <v>0.0128051924677673</v>
      </c>
      <c r="I1324" t="n">
        <v>0.4760499058220299</v>
      </c>
      <c r="J1324" t="n">
        <v>0.0005822923775331</v>
      </c>
      <c r="K1324" t="n">
        <v>0.9116895269188112</v>
      </c>
      <c r="L1324" t="b">
        <v>0</v>
      </c>
      <c r="M1324" t="b">
        <v>0</v>
      </c>
      <c r="N1324" t="inlineStr">
        <is>
          <t>ref</t>
        </is>
      </c>
      <c r="O1324" t="n">
        <v>100</v>
      </c>
      <c r="P1324" t="n">
        <v>0.0104</v>
      </c>
      <c r="Q1324" t="n">
        <v>-75</v>
      </c>
      <c r="R1324" t="n">
        <v>0.0442</v>
      </c>
      <c r="S1324">
        <f>IMAGE("https://mitra.stanford.edu/kundaje/oak/projects/neuro-variants/variant_position/credible/roussos_2024/variant_figures/roussos_2024.adolescence.Astrocyte/rs1971791_count_position.png",4,220,900)</f>
        <v/>
      </c>
      <c r="T1324">
        <f>IMAGE("https://mitra.stanford.edu/kundaje/oak/projects/neuro-variants/variant_position/credible/roussos_2024/variant_figures/roussos_2024.adolescence.Astrocyte/rs1971791_profile_position.png",4,220,900)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0.121451279</v>
      </c>
      <c r="G1325" t="n">
        <v>0.06742852216938371</v>
      </c>
      <c r="H1325" t="n">
        <v>0.0180745153776137</v>
      </c>
      <c r="I1325" t="n">
        <v>0.1918250639467714</v>
      </c>
      <c r="J1325" t="n">
        <v>0.448299854612349</v>
      </c>
      <c r="K1325" t="n">
        <v>0.06978325750449139</v>
      </c>
      <c r="L1325" t="b">
        <v>0</v>
      </c>
      <c r="M1325" t="b">
        <v>0</v>
      </c>
      <c r="N1325" t="inlineStr">
        <is>
          <t>alt</t>
        </is>
      </c>
      <c r="O1325" t="n">
        <v>-35</v>
      </c>
      <c r="P1325" t="n">
        <v>0.00293</v>
      </c>
      <c r="Q1325" t="n">
        <v>-10</v>
      </c>
      <c r="R1325" t="n">
        <v>0.0166</v>
      </c>
      <c r="S1325">
        <f>IMAGE("https://mitra.stanford.edu/kundaje/oak/projects/neuro-variants/variant_position/credible/roussos_2024/variant_figures/roussos_2024.adolescence.Astrocyte/rs2415092_count_position.png",4,220,900)</f>
        <v/>
      </c>
      <c r="T1325">
        <f>IMAGE("https://mitra.stanford.edu/kundaje/oak/projects/neuro-variants/variant_position/credible/roussos_2024/variant_figures/roussos_2024.adolescence.Astrocyte/rs2415092_profile_position.png",4,220,900)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0.1321415448</v>
      </c>
      <c r="G1326" t="n">
        <v>0.0491753233823682</v>
      </c>
      <c r="H1326" t="n">
        <v>0.0248364162609264</v>
      </c>
      <c r="I1326" t="n">
        <v>0.0673024596179982</v>
      </c>
      <c r="J1326" t="n">
        <v>0.1177758656499421</v>
      </c>
      <c r="K1326" t="n">
        <v>0.2963788994991291</v>
      </c>
      <c r="L1326" t="b">
        <v>0</v>
      </c>
      <c r="M1326" t="b">
        <v>0</v>
      </c>
      <c r="N1326" t="inlineStr">
        <is>
          <t>alt</t>
        </is>
      </c>
      <c r="O1326" t="n">
        <v>95</v>
      </c>
      <c r="P1326" t="n">
        <v>0.02533</v>
      </c>
      <c r="Q1326" t="n">
        <v>-40</v>
      </c>
      <c r="R1326" t="n">
        <v>0.1292</v>
      </c>
      <c r="S1326">
        <f>IMAGE("https://mitra.stanford.edu/kundaje/oak/projects/neuro-variants/variant_position/credible/roussos_2024/variant_figures/roussos_2024.adolescence.Astrocyte/rs2915695_count_position.png",4,220,900)</f>
        <v/>
      </c>
      <c r="T1326">
        <f>IMAGE("https://mitra.stanford.edu/kundaje/oak/projects/neuro-variants/variant_position/credible/roussos_2024/variant_figures/roussos_2024.adolescence.Astrocyte/rs2915695_profile_position.png",4,220,900)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0.1353484319999999</v>
      </c>
      <c r="G1327" t="n">
        <v>0.043260808041398</v>
      </c>
      <c r="H1327" t="n">
        <v>0.0167357247616902</v>
      </c>
      <c r="I1327" t="n">
        <v>0.2429177215068708</v>
      </c>
      <c r="J1327" t="n">
        <v>0.0669747500222531</v>
      </c>
      <c r="K1327" t="n">
        <v>0.3903313706976735</v>
      </c>
      <c r="L1327" t="b">
        <v>0</v>
      </c>
      <c r="M1327" t="b">
        <v>0</v>
      </c>
      <c r="N1327" t="inlineStr">
        <is>
          <t>alt</t>
        </is>
      </c>
      <c r="O1327" t="n">
        <v>-100</v>
      </c>
      <c r="P1327" t="n">
        <v>0.004997</v>
      </c>
      <c r="Q1327" t="n">
        <v>80</v>
      </c>
      <c r="R1327" t="n">
        <v>0.1835</v>
      </c>
      <c r="S1327">
        <f>IMAGE("https://mitra.stanford.edu/kundaje/oak/projects/neuro-variants/variant_position/credible/roussos_2024/variant_figures/roussos_2024.adolescence.Astrocyte/rs667282_count_position.png",4,220,900)</f>
        <v/>
      </c>
      <c r="T1327">
        <f>IMAGE("https://mitra.stanford.edu/kundaje/oak/projects/neuro-variants/variant_position/credible/roussos_2024/variant_figures/roussos_2024.adolescence.Astrocyte/rs667282_profile_position.png",4,220,900)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0.0122500614</v>
      </c>
      <c r="G1328" t="n">
        <v>0.5134614823734607</v>
      </c>
      <c r="H1328" t="n">
        <v>0.0137388529048051</v>
      </c>
      <c r="I1328" t="n">
        <v>0.4072392298308495</v>
      </c>
      <c r="J1328" t="n">
        <v>0.0416565290923656</v>
      </c>
      <c r="K1328" t="n">
        <v>0.4729845942549638</v>
      </c>
      <c r="L1328" t="b">
        <v>0</v>
      </c>
      <c r="M1328" t="b">
        <v>0</v>
      </c>
      <c r="N1328" t="inlineStr">
        <is>
          <t>alt</t>
        </is>
      </c>
      <c r="O1328" t="n">
        <v>35</v>
      </c>
      <c r="P1328" t="n">
        <v>0.00473</v>
      </c>
      <c r="Q1328" t="n">
        <v>-20</v>
      </c>
      <c r="R1328" t="n">
        <v>0.015015</v>
      </c>
      <c r="S1328">
        <f>IMAGE("https://mitra.stanford.edu/kundaje/oak/projects/neuro-variants/variant_position/credible/roussos_2024/variant_figures/roussos_2024.adolescence.Astrocyte/rs3743078_count_position.png",4,220,900)</f>
        <v/>
      </c>
      <c r="T1328">
        <f>IMAGE("https://mitra.stanford.edu/kundaje/oak/projects/neuro-variants/variant_position/credible/roussos_2024/variant_figures/roussos_2024.adolescence.Astrocyte/rs3743078_profile_position.png",4,220,900)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-0.066913047</v>
      </c>
      <c r="G1329" t="n">
        <v>0.1527661391964321</v>
      </c>
      <c r="H1329" t="n">
        <v>0.0136915890128407</v>
      </c>
      <c r="I1329" t="n">
        <v>0.4111502387965218</v>
      </c>
      <c r="J1329" t="n">
        <v>0.4683574162537459</v>
      </c>
      <c r="K1329" t="n">
        <v>0.0641522091766598</v>
      </c>
      <c r="L1329" t="b">
        <v>0</v>
      </c>
      <c r="M1329" t="b">
        <v>0</v>
      </c>
      <c r="N1329" t="inlineStr">
        <is>
          <t>ref</t>
        </is>
      </c>
      <c r="O1329" t="n">
        <v>-70</v>
      </c>
      <c r="P1329" t="n">
        <v>0.008606000000000001</v>
      </c>
      <c r="Q1329" t="n">
        <v>-70</v>
      </c>
      <c r="R1329" t="n">
        <v>0.1565</v>
      </c>
      <c r="S1329">
        <f>IMAGE("https://mitra.stanford.edu/kundaje/oak/projects/neuro-variants/variant_position/credible/roussos_2024/variant_figures/roussos_2024.adolescence.Astrocyte/rs3825845_count_position.png",4,220,900)</f>
        <v/>
      </c>
      <c r="T1329">
        <f>IMAGE("https://mitra.stanford.edu/kundaje/oak/projects/neuro-variants/variant_position/credible/roussos_2024/variant_figures/roussos_2024.adolescence.Astrocyte/rs3825845_profile_position.png",4,220,900)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0.0378861197999999</v>
      </c>
      <c r="G1330" t="n">
        <v>0.35349367821546</v>
      </c>
      <c r="H1330" t="n">
        <v>0.009308674378142701</v>
      </c>
      <c r="I1330" t="n">
        <v>0.8082739001115132</v>
      </c>
      <c r="J1330" t="n">
        <v>0.041069044298727</v>
      </c>
      <c r="K1330" t="n">
        <v>0.4844770000493287</v>
      </c>
      <c r="L1330" t="b">
        <v>0</v>
      </c>
      <c r="M1330" t="b">
        <v>0</v>
      </c>
      <c r="N1330" t="inlineStr">
        <is>
          <t>alt</t>
        </is>
      </c>
      <c r="O1330" t="n">
        <v>-20</v>
      </c>
      <c r="P1330" t="n">
        <v>0.001808</v>
      </c>
      <c r="Q1330" t="n">
        <v>100</v>
      </c>
      <c r="R1330" t="n">
        <v>0.1912</v>
      </c>
      <c r="S1330">
        <f>IMAGE("https://mitra.stanford.edu/kundaje/oak/projects/neuro-variants/variant_position/credible/roussos_2024/variant_figures/roussos_2024.adolescence.Astrocyte/rs698500_count_position.png",4,220,900)</f>
        <v/>
      </c>
      <c r="T1330">
        <f>IMAGE("https://mitra.stanford.edu/kundaje/oak/projects/neuro-variants/variant_position/credible/roussos_2024/variant_figures/roussos_2024.adolescence.Astrocyte/rs698500_profile_position.png",4,220,900)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-0.00118026444</v>
      </c>
      <c r="G1331" t="n">
        <v>0.9242413750138724</v>
      </c>
      <c r="H1331" t="n">
        <v>0.0317755591562257</v>
      </c>
      <c r="I1331" t="n">
        <v>0.0247669919599247</v>
      </c>
      <c r="J1331" t="n">
        <v>0.0015436311307598</v>
      </c>
      <c r="K1331" t="n">
        <v>0.8447580854914646</v>
      </c>
      <c r="L1331" t="b">
        <v>0</v>
      </c>
      <c r="M1331" t="b">
        <v>0</v>
      </c>
      <c r="N1331" t="inlineStr">
        <is>
          <t>ref</t>
        </is>
      </c>
      <c r="O1331" t="n">
        <v>80</v>
      </c>
      <c r="P1331" t="n">
        <v>0.005005</v>
      </c>
      <c r="Q1331" t="n">
        <v>90</v>
      </c>
      <c r="R1331" t="n">
        <v>0.1339</v>
      </c>
      <c r="S1331">
        <f>IMAGE("https://mitra.stanford.edu/kundaje/oak/projects/neuro-variants/variant_position/credible/roussos_2024/variant_figures/roussos_2024.adolescence.Astrocyte/rs2678445_count_position.png",4,220,900)</f>
        <v/>
      </c>
      <c r="T1331">
        <f>IMAGE("https://mitra.stanford.edu/kundaje/oak/projects/neuro-variants/variant_position/credible/roussos_2024/variant_figures/roussos_2024.adolescence.Astrocyte/rs2678445_profile_position.png",4,220,900)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0.0075677038799999</v>
      </c>
      <c r="G1332" t="n">
        <v>0.6735683838865669</v>
      </c>
      <c r="H1332" t="n">
        <v>0.009099886455493899</v>
      </c>
      <c r="I1332" t="n">
        <v>0.8443515002086224</v>
      </c>
      <c r="J1332" t="n">
        <v>0.0142887873483072</v>
      </c>
      <c r="K1332" t="n">
        <v>0.6275841786053998</v>
      </c>
      <c r="L1332" t="b">
        <v>0</v>
      </c>
      <c r="M1332" t="b">
        <v>0</v>
      </c>
      <c r="N1332" t="inlineStr">
        <is>
          <t>alt</t>
        </is>
      </c>
      <c r="O1332" t="n">
        <v>100</v>
      </c>
      <c r="P1332" t="n">
        <v>0.009964000000000001</v>
      </c>
      <c r="Q1332" t="n">
        <v>50</v>
      </c>
      <c r="R1332" t="n">
        <v>0.02869</v>
      </c>
      <c r="S1332">
        <f>IMAGE("https://mitra.stanford.edu/kundaje/oak/projects/neuro-variants/variant_position/credible/roussos_2024/variant_figures/roussos_2024.adolescence.Astrocyte/rs783532_count_position.png",4,220,900)</f>
        <v/>
      </c>
      <c r="T1332">
        <f>IMAGE("https://mitra.stanford.edu/kundaje/oak/projects/neuro-variants/variant_position/credible/roussos_2024/variant_figures/roussos_2024.adolescence.Astrocyte/rs783532_profile_position.png",4,220,900)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0.0272564413999999</v>
      </c>
      <c r="G1333" t="n">
        <v>0.3493054170751556</v>
      </c>
      <c r="H1333" t="n">
        <v>0.0505234615532635</v>
      </c>
      <c r="I1333" t="n">
        <v>0.0037579324220977</v>
      </c>
      <c r="J1333" t="n">
        <v>0.0088871910512416</v>
      </c>
      <c r="K1333" t="n">
        <v>0.6784173127937534</v>
      </c>
      <c r="L1333" t="b">
        <v>0</v>
      </c>
      <c r="M1333" t="b">
        <v>0</v>
      </c>
      <c r="N1333" t="inlineStr">
        <is>
          <t>alt</t>
        </is>
      </c>
      <c r="O1333" t="n">
        <v>100</v>
      </c>
      <c r="P1333" t="n">
        <v>0.01172</v>
      </c>
      <c r="Q1333" t="n">
        <v>-65</v>
      </c>
      <c r="R1333" t="n">
        <v>0.08484</v>
      </c>
      <c r="S1333">
        <f>IMAGE("https://mitra.stanford.edu/kundaje/oak/projects/neuro-variants/variant_position/credible/roussos_2024/variant_figures/roussos_2024.adolescence.Astrocyte/rs71412256_count_position.png",4,220,900)</f>
        <v/>
      </c>
      <c r="T1333">
        <f>IMAGE("https://mitra.stanford.edu/kundaje/oak/projects/neuro-variants/variant_position/credible/roussos_2024/variant_figures/roussos_2024.adolescence.Astrocyte/rs71412256_profile_position.png",4,220,900)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0.159960137</v>
      </c>
      <c r="G1334" t="n">
        <v>0.0823767424789164</v>
      </c>
      <c r="H1334" t="n">
        <v>0.0557076770603143</v>
      </c>
      <c r="I1334" t="n">
        <v>0.0081438140853397</v>
      </c>
      <c r="J1334" t="n">
        <v>0.001289944515325</v>
      </c>
      <c r="K1334" t="n">
        <v>0.8605865085060809</v>
      </c>
      <c r="L1334" t="b">
        <v>0</v>
      </c>
      <c r="M1334" t="b">
        <v>0</v>
      </c>
      <c r="N1334" t="inlineStr">
        <is>
          <t>alt</t>
        </is>
      </c>
      <c r="O1334" t="n">
        <v>-95</v>
      </c>
      <c r="P1334" t="n">
        <v>0.001358</v>
      </c>
      <c r="Q1334" t="n">
        <v>100</v>
      </c>
      <c r="R1334" t="n">
        <v>0.1267</v>
      </c>
      <c r="S1334">
        <f>IMAGE("https://mitra.stanford.edu/kundaje/oak/projects/neuro-variants/variant_position/credible/roussos_2024/variant_figures/roussos_2024.adolescence.Astrocyte/rs2567635_count_position.png",4,220,900)</f>
        <v/>
      </c>
      <c r="T1334">
        <f>IMAGE("https://mitra.stanford.edu/kundaje/oak/projects/neuro-variants/variant_position/credible/roussos_2024/variant_figures/roussos_2024.adolescence.Astrocyte/rs2567635_profile_position.png",4,220,900)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0.081171542</v>
      </c>
      <c r="G1335" t="n">
        <v>0.09539366469084749</v>
      </c>
      <c r="H1335" t="n">
        <v>0.017029818241187</v>
      </c>
      <c r="I1335" t="n">
        <v>0.2248017406114766</v>
      </c>
      <c r="J1335" t="n">
        <v>0.7504191021570781</v>
      </c>
      <c r="K1335" t="n">
        <v>0.0127708547066615</v>
      </c>
      <c r="L1335" t="b">
        <v>0</v>
      </c>
      <c r="M1335" t="b">
        <v>0</v>
      </c>
      <c r="N1335" t="inlineStr">
        <is>
          <t>alt</t>
        </is>
      </c>
      <c r="O1335" t="n">
        <v>-80</v>
      </c>
      <c r="P1335" t="n">
        <v>0.0701</v>
      </c>
      <c r="Q1335" t="n">
        <v>0</v>
      </c>
      <c r="R1335" t="n">
        <v>0</v>
      </c>
      <c r="S1335">
        <f>IMAGE("https://mitra.stanford.edu/kundaje/oak/projects/neuro-variants/variant_position/credible/roussos_2024/variant_figures/roussos_2024.adolescence.Astrocyte/rs1269134_count_position.png",4,220,900)</f>
        <v/>
      </c>
      <c r="T1335">
        <f>IMAGE("https://mitra.stanford.edu/kundaje/oak/projects/neuro-variants/variant_position/credible/roussos_2024/variant_figures/roussos_2024.adolescence.Astrocyte/rs1269134_profile_position.png",4,220,900)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-0.0263503158</v>
      </c>
      <c r="G1336" t="n">
        <v>0.4613373911381946</v>
      </c>
      <c r="H1336" t="n">
        <v>0.0561528689555845</v>
      </c>
      <c r="I1336" t="n">
        <v>0.0025126379740374</v>
      </c>
      <c r="J1336" t="n">
        <v>0.0072901522119692</v>
      </c>
      <c r="K1336" t="n">
        <v>0.7052936763620816</v>
      </c>
      <c r="L1336" t="b">
        <v>0</v>
      </c>
      <c r="M1336" t="b">
        <v>0</v>
      </c>
      <c r="N1336" t="inlineStr">
        <is>
          <t>ref</t>
        </is>
      </c>
      <c r="O1336" t="n">
        <v>-100</v>
      </c>
      <c r="P1336" t="n">
        <v>0.0275</v>
      </c>
      <c r="Q1336" t="n">
        <v>65</v>
      </c>
      <c r="R1336" t="n">
        <v>0.0721</v>
      </c>
      <c r="S1336">
        <f>IMAGE("https://mitra.stanford.edu/kundaje/oak/projects/neuro-variants/variant_position/credible/roussos_2024/variant_figures/roussos_2024.adolescence.Astrocyte/rs28374463_count_position.png",4,220,900)</f>
        <v/>
      </c>
      <c r="T1336">
        <f>IMAGE("https://mitra.stanford.edu/kundaje/oak/projects/neuro-variants/variant_position/credible/roussos_2024/variant_figures/roussos_2024.adolescence.Astrocyte/rs28374463_profile_position.png",4,220,900)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-0.093078207</v>
      </c>
      <c r="G1337" t="n">
        <v>0.08847440058503769</v>
      </c>
      <c r="H1337" t="n">
        <v>0.0222054788026619</v>
      </c>
      <c r="I1337" t="n">
        <v>0.09673557334499649</v>
      </c>
      <c r="J1337" t="n">
        <v>0.0197089279886063</v>
      </c>
      <c r="K1337" t="n">
        <v>0.5914508600259319</v>
      </c>
      <c r="L1337" t="b">
        <v>0</v>
      </c>
      <c r="M1337" t="b">
        <v>0</v>
      </c>
      <c r="N1337" t="inlineStr">
        <is>
          <t>ref</t>
        </is>
      </c>
      <c r="O1337" t="n">
        <v>-100</v>
      </c>
      <c r="P1337" t="n">
        <v>0.11676</v>
      </c>
      <c r="Q1337" t="n">
        <v>-100</v>
      </c>
      <c r="R1337" t="n">
        <v>0.0471</v>
      </c>
      <c r="S1337">
        <f>IMAGE("https://mitra.stanford.edu/kundaje/oak/projects/neuro-variants/variant_position/credible/roussos_2024/variant_figures/roussos_2024.adolescence.Astrocyte/rs10906984_count_position.png",4,220,900)</f>
        <v/>
      </c>
      <c r="T1337">
        <f>IMAGE("https://mitra.stanford.edu/kundaje/oak/projects/neuro-variants/variant_position/credible/roussos_2024/variant_figures/roussos_2024.adolescence.Astrocyte/rs10906984_profile_position.png",4,220,900)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0.0523746114399999</v>
      </c>
      <c r="G1338" t="n">
        <v>0.2339976807286448</v>
      </c>
      <c r="H1338" t="n">
        <v>0.0249115605735361</v>
      </c>
      <c r="I1338" t="n">
        <v>0.0682700263546839</v>
      </c>
      <c r="J1338" t="n">
        <v>0.3568962703616888</v>
      </c>
      <c r="K1338" t="n">
        <v>0.105028842279157</v>
      </c>
      <c r="L1338" t="b">
        <v>0</v>
      </c>
      <c r="M1338" t="b">
        <v>0</v>
      </c>
      <c r="N1338" t="inlineStr">
        <is>
          <t>alt</t>
        </is>
      </c>
      <c r="O1338" t="n">
        <v>85</v>
      </c>
      <c r="P1338" t="n">
        <v>0.02162</v>
      </c>
      <c r="Q1338" t="n">
        <v>85</v>
      </c>
      <c r="R1338" t="n">
        <v>0.2357</v>
      </c>
      <c r="S1338">
        <f>IMAGE("https://mitra.stanford.edu/kundaje/oak/projects/neuro-variants/variant_position/credible/roussos_2024/variant_figures/roussos_2024.adolescence.Astrocyte/rs9652567_count_position.png",4,220,900)</f>
        <v/>
      </c>
      <c r="T1338">
        <f>IMAGE("https://mitra.stanford.edu/kundaje/oak/projects/neuro-variants/variant_position/credible/roussos_2024/variant_figures/roussos_2024.adolescence.Astrocyte/rs9652567_profile_position.png",4,220,900)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0.0783178004</v>
      </c>
      <c r="G1339" t="n">
        <v>0.1230805002356232</v>
      </c>
      <c r="H1339" t="n">
        <v>0.0116394021572025</v>
      </c>
      <c r="I1339" t="n">
        <v>0.573390404238224</v>
      </c>
      <c r="J1339" t="n">
        <v>0.1385395958816722</v>
      </c>
      <c r="K1339" t="n">
        <v>0.2685315688512369</v>
      </c>
      <c r="L1339" t="b">
        <v>0</v>
      </c>
      <c r="M1339" t="b">
        <v>0</v>
      </c>
      <c r="N1339" t="inlineStr">
        <is>
          <t>alt</t>
        </is>
      </c>
      <c r="O1339" t="n">
        <v>-95</v>
      </c>
      <c r="P1339" t="n">
        <v>0.005577</v>
      </c>
      <c r="Q1339" t="n">
        <v>-100</v>
      </c>
      <c r="R1339" t="n">
        <v>0.0492</v>
      </c>
      <c r="S1339">
        <f>IMAGE("https://mitra.stanford.edu/kundaje/oak/projects/neuro-variants/variant_position/credible/roussos_2024/variant_figures/roussos_2024.adolescence.Astrocyte/rs4779054_count_position.png",4,220,900)</f>
        <v/>
      </c>
      <c r="T1339">
        <f>IMAGE("https://mitra.stanford.edu/kundaje/oak/projects/neuro-variants/variant_position/credible/roussos_2024/variant_figures/roussos_2024.adolescence.Astrocyte/rs4779054_profile_position.png",4,220,900)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-0.06450053980000001</v>
      </c>
      <c r="G1340" t="n">
        <v>0.1654032197731134</v>
      </c>
      <c r="H1340" t="n">
        <v>0.0113543812778995</v>
      </c>
      <c r="I1340" t="n">
        <v>0.6241041798193854</v>
      </c>
      <c r="J1340" t="n">
        <v>0.0007261964810253</v>
      </c>
      <c r="K1340" t="n">
        <v>0.8913501416806168</v>
      </c>
      <c r="L1340" t="b">
        <v>0</v>
      </c>
      <c r="M1340" t="b">
        <v>0</v>
      </c>
      <c r="N1340" t="inlineStr">
        <is>
          <t>ref</t>
        </is>
      </c>
      <c r="O1340" t="n">
        <v>40</v>
      </c>
      <c r="P1340" t="n">
        <v>0.005833</v>
      </c>
      <c r="Q1340" t="n">
        <v>-100</v>
      </c>
      <c r="R1340" t="n">
        <v>0.09644</v>
      </c>
      <c r="S1340">
        <f>IMAGE("https://mitra.stanford.edu/kundaje/oak/projects/neuro-variants/variant_position/credible/roussos_2024/variant_figures/roussos_2024.adolescence.Astrocyte/rs34921234_count_position.png",4,220,900)</f>
        <v/>
      </c>
      <c r="T1340">
        <f>IMAGE("https://mitra.stanford.edu/kundaje/oak/projects/neuro-variants/variant_position/credible/roussos_2024/variant_figures/roussos_2024.adolescence.Astrocyte/rs34921234_profile_position.png",4,220,900)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-0.0099204386</v>
      </c>
      <c r="G1341" t="n">
        <v>0.705759044323746</v>
      </c>
      <c r="H1341" t="n">
        <v>0.0112593953207455</v>
      </c>
      <c r="I1341" t="n">
        <v>0.6338067940647238</v>
      </c>
      <c r="J1341" t="n">
        <v>0.0020465537192534</v>
      </c>
      <c r="K1341" t="n">
        <v>0.828107760593031</v>
      </c>
      <c r="L1341" t="b">
        <v>0</v>
      </c>
      <c r="M1341" t="b">
        <v>0</v>
      </c>
      <c r="N1341" t="inlineStr">
        <is>
          <t>ref</t>
        </is>
      </c>
      <c r="O1341" t="n">
        <v>60</v>
      </c>
      <c r="P1341" t="n">
        <v>0.008606000000000001</v>
      </c>
      <c r="Q1341" t="n">
        <v>100</v>
      </c>
      <c r="R1341" t="n">
        <v>0.0994</v>
      </c>
      <c r="S1341">
        <f>IMAGE("https://mitra.stanford.edu/kundaje/oak/projects/neuro-variants/variant_position/credible/roussos_2024/variant_figures/roussos_2024.adolescence.Astrocyte/rs12902973_count_position.png",4,220,900)</f>
        <v/>
      </c>
      <c r="T1341">
        <f>IMAGE("https://mitra.stanford.edu/kundaje/oak/projects/neuro-variants/variant_position/credible/roussos_2024/variant_figures/roussos_2024.adolescence.Astrocyte/rs12902973_profile_position.png",4,220,900)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0.08504641960000001</v>
      </c>
      <c r="G1342" t="n">
        <v>0.1152689104930222</v>
      </c>
      <c r="H1342" t="n">
        <v>0.0224260381342216</v>
      </c>
      <c r="I1342" t="n">
        <v>0.0967874911314809</v>
      </c>
      <c r="J1342" t="n">
        <v>0.2874781176749844</v>
      </c>
      <c r="K1342" t="n">
        <v>0.1404860950355586</v>
      </c>
      <c r="L1342" t="b">
        <v>0</v>
      </c>
      <c r="M1342" t="b">
        <v>0</v>
      </c>
      <c r="N1342" t="inlineStr">
        <is>
          <t>alt</t>
        </is>
      </c>
      <c r="O1342" t="n">
        <v>-100</v>
      </c>
      <c r="P1342" t="n">
        <v>0.1112</v>
      </c>
      <c r="Q1342" t="n">
        <v>-100</v>
      </c>
      <c r="R1342" t="n">
        <v>0.697</v>
      </c>
      <c r="S1342">
        <f>IMAGE("https://mitra.stanford.edu/kundaje/oak/projects/neuro-variants/variant_position/credible/roussos_2024/variant_figures/roussos_2024.adolescence.Astrocyte/rs34973912_count_position.png",4,220,900)</f>
        <v/>
      </c>
      <c r="T1342">
        <f>IMAGE("https://mitra.stanford.edu/kundaje/oak/projects/neuro-variants/variant_position/credible/roussos_2024/variant_figures/roussos_2024.adolescence.Astrocyte/rs34973912_profile_position.png",4,220,900)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0.0283033178</v>
      </c>
      <c r="G1343" t="n">
        <v>0.4293957941157716</v>
      </c>
      <c r="H1343" t="n">
        <v>0.0101521157015962</v>
      </c>
      <c r="I1343" t="n">
        <v>0.7450010964108474</v>
      </c>
      <c r="J1343" t="n">
        <v>0.6478992967985044</v>
      </c>
      <c r="K1343" t="n">
        <v>0.0256600218810165</v>
      </c>
      <c r="L1343" t="b">
        <v>0</v>
      </c>
      <c r="M1343" t="b">
        <v>0</v>
      </c>
      <c r="N1343" t="inlineStr">
        <is>
          <t>alt</t>
        </is>
      </c>
      <c r="O1343" t="n">
        <v>60</v>
      </c>
      <c r="P1343" t="n">
        <v>0.011444</v>
      </c>
      <c r="Q1343" t="n">
        <v>-85</v>
      </c>
      <c r="R1343" t="n">
        <v>0.126</v>
      </c>
      <c r="S1343">
        <f>IMAGE("https://mitra.stanford.edu/kundaje/oak/projects/neuro-variants/variant_position/credible/roussos_2024/variant_figures/roussos_2024.adolescence.Astrocyte/rs36126054_count_position.png",4,220,900)</f>
        <v/>
      </c>
      <c r="T1343">
        <f>IMAGE("https://mitra.stanford.edu/kundaje/oak/projects/neuro-variants/variant_position/credible/roussos_2024/variant_figures/roussos_2024.adolescence.Astrocyte/rs36126054_profile_position.png",4,220,900)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-0.220717028</v>
      </c>
      <c r="G1344" t="n">
        <v>0.0157442514381366</v>
      </c>
      <c r="H1344" t="n">
        <v>0.0275011732456654</v>
      </c>
      <c r="I1344" t="n">
        <v>0.0468828966623811</v>
      </c>
      <c r="J1344" t="n">
        <v>0.1345555291813784</v>
      </c>
      <c r="K1344" t="n">
        <v>0.2811228624998247</v>
      </c>
      <c r="L1344" t="b">
        <v>1</v>
      </c>
      <c r="M1344" t="b">
        <v>0</v>
      </c>
      <c r="N1344" t="inlineStr">
        <is>
          <t>ref</t>
        </is>
      </c>
      <c r="O1344" t="n">
        <v>-85</v>
      </c>
      <c r="P1344" t="n">
        <v>0.002075</v>
      </c>
      <c r="Q1344" t="n">
        <v>80</v>
      </c>
      <c r="R1344" t="n">
        <v>0.1001</v>
      </c>
      <c r="S1344">
        <f>IMAGE("https://mitra.stanford.edu/kundaje/oak/projects/neuro-variants/variant_position/credible/roussos_2024/variant_figures/roussos_2024.adolescence.Astrocyte/rs12899981_count_position.png",4,220,900)</f>
        <v/>
      </c>
      <c r="T1344">
        <f>IMAGE("https://mitra.stanford.edu/kundaje/oak/projects/neuro-variants/variant_position/credible/roussos_2024/variant_figures/roussos_2024.adolescence.Astrocyte/rs12899981_profile_position.png",4,220,900)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-0.01988705196</v>
      </c>
      <c r="G1345" t="n">
        <v>0.4873251101447191</v>
      </c>
      <c r="H1345" t="n">
        <v>0.0321312005579312</v>
      </c>
      <c r="I1345" t="n">
        <v>0.0243149111346494</v>
      </c>
      <c r="J1345" t="n">
        <v>0.940673678900988</v>
      </c>
      <c r="K1345" t="n">
        <v>0.0003005070781537</v>
      </c>
      <c r="L1345" t="b">
        <v>0</v>
      </c>
      <c r="M1345" t="b">
        <v>0</v>
      </c>
      <c r="N1345" t="inlineStr">
        <is>
          <t>ref</t>
        </is>
      </c>
      <c r="O1345" t="n">
        <v>85</v>
      </c>
      <c r="P1345" t="n">
        <v>0.0881</v>
      </c>
      <c r="Q1345" t="n">
        <v>75</v>
      </c>
      <c r="R1345" t="n">
        <v>0.542</v>
      </c>
      <c r="S1345">
        <f>IMAGE("https://mitra.stanford.edu/kundaje/oak/projects/neuro-variants/variant_position/credible/roussos_2024/variant_figures/roussos_2024.adolescence.Astrocyte/rs7178152_count_position.png",4,220,900)</f>
        <v/>
      </c>
      <c r="T1345">
        <f>IMAGE("https://mitra.stanford.edu/kundaje/oak/projects/neuro-variants/variant_position/credible/roussos_2024/variant_figures/roussos_2024.adolescence.Astrocyte/rs7178152_profile_position.png",4,220,900)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0.09027418399999999</v>
      </c>
      <c r="G1346" t="n">
        <v>0.0908527503080275</v>
      </c>
      <c r="H1346" t="n">
        <v>0.0157883028319187</v>
      </c>
      <c r="I1346" t="n">
        <v>0.2797032457416816</v>
      </c>
      <c r="J1346" t="n">
        <v>0.000514790968163</v>
      </c>
      <c r="K1346" t="n">
        <v>0.9190905685526808</v>
      </c>
      <c r="L1346" t="b">
        <v>0</v>
      </c>
      <c r="M1346" t="b">
        <v>0</v>
      </c>
      <c r="N1346" t="inlineStr">
        <is>
          <t>alt</t>
        </is>
      </c>
      <c r="O1346" t="n">
        <v>-45</v>
      </c>
      <c r="P1346" t="n">
        <v>0.0147</v>
      </c>
      <c r="Q1346" t="n">
        <v>-90</v>
      </c>
      <c r="R1346" t="n">
        <v>0.1646</v>
      </c>
      <c r="S1346">
        <f>IMAGE("https://mitra.stanford.edu/kundaje/oak/projects/neuro-variants/variant_position/credible/roussos_2024/variant_figures/roussos_2024.adolescence.Astrocyte/rs2108600_count_position.png",4,220,900)</f>
        <v/>
      </c>
      <c r="T1346">
        <f>IMAGE("https://mitra.stanford.edu/kundaje/oak/projects/neuro-variants/variant_position/credible/roussos_2024/variant_figures/roussos_2024.adolescence.Astrocyte/rs2108600_profile_position.png",4,220,900)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-0.002038284038</v>
      </c>
      <c r="G1347" t="n">
        <v>0.8851456612118273</v>
      </c>
      <c r="H1347" t="n">
        <v>0.0229666489653924</v>
      </c>
      <c r="I1347" t="n">
        <v>0.0852734827819486</v>
      </c>
      <c r="J1347" t="n">
        <v>0.0002803904696911</v>
      </c>
      <c r="K1347" t="n">
        <v>0.9462544312990592</v>
      </c>
      <c r="L1347" t="b">
        <v>0</v>
      </c>
      <c r="M1347" t="b">
        <v>0</v>
      </c>
      <c r="N1347" t="inlineStr">
        <is>
          <t>ref</t>
        </is>
      </c>
      <c r="O1347" t="n">
        <v>55</v>
      </c>
      <c r="P1347" t="n">
        <v>0.00724</v>
      </c>
      <c r="Q1347" t="n">
        <v>5</v>
      </c>
      <c r="R1347" t="n">
        <v>0.02289</v>
      </c>
      <c r="S1347">
        <f>IMAGE("https://mitra.stanford.edu/kundaje/oak/projects/neuro-variants/variant_position/credible/roussos_2024/variant_figures/roussos_2024.adolescence.Astrocyte/rs6496569_count_position.png",4,220,900)</f>
        <v/>
      </c>
      <c r="T1347">
        <f>IMAGE("https://mitra.stanford.edu/kundaje/oak/projects/neuro-variants/variant_position/credible/roussos_2024/variant_figures/roussos_2024.adolescence.Astrocyte/rs6496569_profile_position.png",4,220,900)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0.1262142338</v>
      </c>
      <c r="G1348" t="n">
        <v>0.0586233246623629</v>
      </c>
      <c r="H1348" t="n">
        <v>0.0201909539286768</v>
      </c>
      <c r="I1348" t="n">
        <v>0.1384798127820931</v>
      </c>
      <c r="J1348" t="n">
        <v>0.1409481351808443</v>
      </c>
      <c r="K1348" t="n">
        <v>0.2669277473836158</v>
      </c>
      <c r="L1348" t="b">
        <v>0</v>
      </c>
      <c r="M1348" t="b">
        <v>0</v>
      </c>
      <c r="N1348" t="inlineStr">
        <is>
          <t>alt</t>
        </is>
      </c>
      <c r="O1348" t="n">
        <v>85</v>
      </c>
      <c r="P1348" t="n">
        <v>0.01408</v>
      </c>
      <c r="Q1348" t="n">
        <v>-75</v>
      </c>
      <c r="R1348" t="n">
        <v>0.1512</v>
      </c>
      <c r="S1348">
        <f>IMAGE("https://mitra.stanford.edu/kundaje/oak/projects/neuro-variants/variant_position/credible/roussos_2024/variant_figures/roussos_2024.adolescence.Astrocyte/rs7168951_count_position.png",4,220,900)</f>
        <v/>
      </c>
      <c r="T1348">
        <f>IMAGE("https://mitra.stanford.edu/kundaje/oak/projects/neuro-variants/variant_position/credible/roussos_2024/variant_figures/roussos_2024.adolescence.Astrocyte/rs7168951_profile_position.png",4,220,900)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0.01433175554</v>
      </c>
      <c r="G1349" t="n">
        <v>0.5566120310111973</v>
      </c>
      <c r="H1349" t="n">
        <v>0.0258748633722151</v>
      </c>
      <c r="I1349" t="n">
        <v>0.0554027920851123</v>
      </c>
      <c r="J1349" t="n">
        <v>0.1565483784826276</v>
      </c>
      <c r="K1349" t="n">
        <v>0.245611732753996</v>
      </c>
      <c r="L1349" t="b">
        <v>0</v>
      </c>
      <c r="M1349" t="b">
        <v>0</v>
      </c>
      <c r="N1349" t="inlineStr">
        <is>
          <t>alt</t>
        </is>
      </c>
      <c r="O1349" t="n">
        <v>100</v>
      </c>
      <c r="P1349" t="n">
        <v>0.002762</v>
      </c>
      <c r="Q1349" t="n">
        <v>-15</v>
      </c>
      <c r="R1349" t="n">
        <v>0.04932</v>
      </c>
      <c r="S1349">
        <f>IMAGE("https://mitra.stanford.edu/kundaje/oak/projects/neuro-variants/variant_position/credible/roussos_2024/variant_figures/roussos_2024.adolescence.Astrocyte/rs3759929_count_position.png",4,220,900)</f>
        <v/>
      </c>
      <c r="T1349">
        <f>IMAGE("https://mitra.stanford.edu/kundaje/oak/projects/neuro-variants/variant_position/credible/roussos_2024/variant_figures/roussos_2024.adolescence.Astrocyte/rs3759929_profile_position.png",4,220,900)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0.1991294232</v>
      </c>
      <c r="G1350" t="n">
        <v>0.0201274727264831</v>
      </c>
      <c r="H1350" t="n">
        <v>0.0229577495517547</v>
      </c>
      <c r="I1350" t="n">
        <v>0.0864590048993974</v>
      </c>
      <c r="J1350" t="n">
        <v>0.08570972910423399</v>
      </c>
      <c r="K1350" t="n">
        <v>0.3460758299249439</v>
      </c>
      <c r="L1350" t="b">
        <v>0</v>
      </c>
      <c r="M1350" t="b">
        <v>0</v>
      </c>
      <c r="N1350" t="inlineStr">
        <is>
          <t>alt</t>
        </is>
      </c>
      <c r="O1350" t="n">
        <v>-15</v>
      </c>
      <c r="P1350" t="n">
        <v>0.00354</v>
      </c>
      <c r="Q1350" t="n">
        <v>-100</v>
      </c>
      <c r="R1350" t="n">
        <v>0.2937</v>
      </c>
      <c r="S1350">
        <f>IMAGE("https://mitra.stanford.edu/kundaje/oak/projects/neuro-variants/variant_position/credible/roussos_2024/variant_figures/roussos_2024.adolescence.Astrocyte/rs8037254_count_position.png",4,220,900)</f>
        <v/>
      </c>
      <c r="T1350">
        <f>IMAGE("https://mitra.stanford.edu/kundaje/oak/projects/neuro-variants/variant_position/credible/roussos_2024/variant_figures/roussos_2024.adolescence.Astrocyte/rs8037254_profile_position.png",4,220,900)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-0.0217863852</v>
      </c>
      <c r="G1351" t="n">
        <v>0.5258047862628286</v>
      </c>
      <c r="H1351" t="n">
        <v>0.0133751165213786</v>
      </c>
      <c r="I1351" t="n">
        <v>0.4308949863885808</v>
      </c>
      <c r="J1351" t="n">
        <v>0.06442082307213</v>
      </c>
      <c r="K1351" t="n">
        <v>0.3947405204321686</v>
      </c>
      <c r="L1351" t="b">
        <v>0</v>
      </c>
      <c r="M1351" t="b">
        <v>0</v>
      </c>
      <c r="N1351" t="inlineStr">
        <is>
          <t>ref</t>
        </is>
      </c>
      <c r="O1351" t="n">
        <v>5</v>
      </c>
      <c r="P1351" t="n">
        <v>0.0004883</v>
      </c>
      <c r="Q1351" t="n">
        <v>100</v>
      </c>
      <c r="R1351" t="n">
        <v>0.1359</v>
      </c>
      <c r="S1351">
        <f>IMAGE("https://mitra.stanford.edu/kundaje/oak/projects/neuro-variants/variant_position/credible/roussos_2024/variant_figures/roussos_2024.adolescence.Astrocyte/rs12595052_count_position.png",4,220,900)</f>
        <v/>
      </c>
      <c r="T1351">
        <f>IMAGE("https://mitra.stanford.edu/kundaje/oak/projects/neuro-variants/variant_position/credible/roussos_2024/variant_figures/roussos_2024.adolescence.Astrocyte/rs12595052_profile_position.png",4,220,900)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0.0183776642</v>
      </c>
      <c r="G1352" t="n">
        <v>0.5362263918861404</v>
      </c>
      <c r="H1352" t="n">
        <v>0.0115516709432865</v>
      </c>
      <c r="I1352" t="n">
        <v>0.5835359261817699</v>
      </c>
      <c r="J1352" t="n">
        <v>0.2795604248879921</v>
      </c>
      <c r="K1352" t="n">
        <v>0.1467663456504261</v>
      </c>
      <c r="L1352" t="b">
        <v>0</v>
      </c>
      <c r="M1352" t="b">
        <v>0</v>
      </c>
      <c r="N1352" t="inlineStr">
        <is>
          <t>alt</t>
        </is>
      </c>
      <c r="O1352" t="n">
        <v>65</v>
      </c>
      <c r="P1352" t="n">
        <v>0.007587</v>
      </c>
      <c r="Q1352" t="n">
        <v>55</v>
      </c>
      <c r="R1352" t="n">
        <v>0.07525999999999999</v>
      </c>
      <c r="S1352">
        <f>IMAGE("https://mitra.stanford.edu/kundaje/oak/projects/neuro-variants/variant_position/credible/roussos_2024/variant_figures/roussos_2024.adolescence.Astrocyte/rs11632664_count_position.png",4,220,900)</f>
        <v/>
      </c>
      <c r="T1352">
        <f>IMAGE("https://mitra.stanford.edu/kundaje/oak/projects/neuro-variants/variant_position/credible/roussos_2024/variant_figures/roussos_2024.adolescence.Astrocyte/rs11632664_profile_position.png",4,220,900)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-0.1607340531999999</v>
      </c>
      <c r="G1353" t="n">
        <v>0.03075303736104</v>
      </c>
      <c r="H1353" t="n">
        <v>0.0175119088445598</v>
      </c>
      <c r="I1353" t="n">
        <v>0.2130524079839411</v>
      </c>
      <c r="J1353" t="n">
        <v>0.0350792214342936</v>
      </c>
      <c r="K1353" t="n">
        <v>0.5009882062476884</v>
      </c>
      <c r="L1353" t="b">
        <v>0</v>
      </c>
      <c r="M1353" t="b">
        <v>0</v>
      </c>
      <c r="N1353" t="inlineStr">
        <is>
          <t>ref</t>
        </is>
      </c>
      <c r="O1353" t="n">
        <v>-30</v>
      </c>
      <c r="P1353" t="n">
        <v>0.00484</v>
      </c>
      <c r="Q1353" t="n">
        <v>-15</v>
      </c>
      <c r="R1353" t="n">
        <v>0.01123</v>
      </c>
      <c r="S1353">
        <f>IMAGE("https://mitra.stanford.edu/kundaje/oak/projects/neuro-variants/variant_position/credible/roussos_2024/variant_figures/roussos_2024.adolescence.Astrocyte/rs111548674_count_position.png",4,220,900)</f>
        <v/>
      </c>
      <c r="T1353">
        <f>IMAGE("https://mitra.stanford.edu/kundaje/oak/projects/neuro-variants/variant_position/credible/roussos_2024/variant_figures/roussos_2024.adolescence.Astrocyte/rs111548674_profile_position.png",4,220,900)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0.0620897652</v>
      </c>
      <c r="G1354" t="n">
        <v>0.1671768812200417</v>
      </c>
      <c r="H1354" t="n">
        <v>0.0149324421814178</v>
      </c>
      <c r="I1354" t="n">
        <v>0.3255542655326349</v>
      </c>
      <c r="J1354" t="n">
        <v>0.0436845384683855</v>
      </c>
      <c r="K1354" t="n">
        <v>0.4597292126940814</v>
      </c>
      <c r="L1354" t="b">
        <v>0</v>
      </c>
      <c r="M1354" t="b">
        <v>0</v>
      </c>
      <c r="N1354" t="inlineStr">
        <is>
          <t>alt</t>
        </is>
      </c>
      <c r="O1354" t="n">
        <v>-90</v>
      </c>
      <c r="P1354" t="n">
        <v>0.0441</v>
      </c>
      <c r="Q1354" t="n">
        <v>-90</v>
      </c>
      <c r="R1354" t="n">
        <v>0.04175</v>
      </c>
      <c r="S1354">
        <f>IMAGE("https://mitra.stanford.edu/kundaje/oak/projects/neuro-variants/variant_position/credible/roussos_2024/variant_figures/roussos_2024.adolescence.Astrocyte/rs11073569_count_position.png",4,220,900)</f>
        <v/>
      </c>
      <c r="T1354">
        <f>IMAGE("https://mitra.stanford.edu/kundaje/oak/projects/neuro-variants/variant_position/credible/roussos_2024/variant_figures/roussos_2024.adolescence.Astrocyte/rs11073569_profile_position.png",4,220,900)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-0.1643709539999999</v>
      </c>
      <c r="G1355" t="n">
        <v>0.0286313975411205</v>
      </c>
      <c r="H1355" t="n">
        <v>0.0247998463667572</v>
      </c>
      <c r="I1355" t="n">
        <v>0.0655560341229717</v>
      </c>
      <c r="J1355" t="n">
        <v>0.0050603803815683</v>
      </c>
      <c r="K1355" t="n">
        <v>0.743754983605012</v>
      </c>
      <c r="L1355" t="b">
        <v>0</v>
      </c>
      <c r="M1355" t="b">
        <v>0</v>
      </c>
      <c r="N1355" t="inlineStr">
        <is>
          <t>ref</t>
        </is>
      </c>
      <c r="O1355" t="n">
        <v>85</v>
      </c>
      <c r="P1355" t="n">
        <v>0.004395</v>
      </c>
      <c r="Q1355" t="n">
        <v>-100</v>
      </c>
      <c r="R1355" t="n">
        <v>0.3013</v>
      </c>
      <c r="S1355">
        <f>IMAGE("https://mitra.stanford.edu/kundaje/oak/projects/neuro-variants/variant_position/credible/roussos_2024/variant_figures/roussos_2024.adolescence.Astrocyte/rs12908536_count_position.png",4,220,900)</f>
        <v/>
      </c>
      <c r="T1355">
        <f>IMAGE("https://mitra.stanford.edu/kundaje/oak/projects/neuro-variants/variant_position/credible/roussos_2024/variant_figures/roussos_2024.adolescence.Astrocyte/rs12908536_profile_position.png",4,220,900)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-0.1245910694</v>
      </c>
      <c r="G1356" t="n">
        <v>0.060941019780022</v>
      </c>
      <c r="H1356" t="n">
        <v>0.0207987149141639</v>
      </c>
      <c r="I1356" t="n">
        <v>0.1231128903280109</v>
      </c>
      <c r="J1356" t="n">
        <v>0.5823450434679406</v>
      </c>
      <c r="K1356" t="n">
        <v>0.0372568927478104</v>
      </c>
      <c r="L1356" t="b">
        <v>0</v>
      </c>
      <c r="M1356" t="b">
        <v>0</v>
      </c>
      <c r="N1356" t="inlineStr">
        <is>
          <t>ref</t>
        </is>
      </c>
      <c r="O1356" t="n">
        <v>-100</v>
      </c>
      <c r="P1356" t="n">
        <v>0.02008</v>
      </c>
      <c r="Q1356" t="n">
        <v>-90</v>
      </c>
      <c r="R1356" t="n">
        <v>0.1919</v>
      </c>
      <c r="S1356">
        <f>IMAGE("https://mitra.stanford.edu/kundaje/oak/projects/neuro-variants/variant_position/credible/roussos_2024/variant_figures/roussos_2024.adolescence.Astrocyte/rs59251433_count_position.png",4,220,900)</f>
        <v/>
      </c>
      <c r="T1356">
        <f>IMAGE("https://mitra.stanford.edu/kundaje/oak/projects/neuro-variants/variant_position/credible/roussos_2024/variant_figures/roussos_2024.adolescence.Astrocyte/rs59251433_profile_position.png",4,220,900)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0.00107747298</v>
      </c>
      <c r="G1357" t="n">
        <v>0.7599929904298606</v>
      </c>
      <c r="H1357" t="n">
        <v>0.0261758636715804</v>
      </c>
      <c r="I1357" t="n">
        <v>0.0531654202168541</v>
      </c>
      <c r="J1357" t="n">
        <v>0.0336832032756727</v>
      </c>
      <c r="K1357" t="n">
        <v>0.52325218738019</v>
      </c>
      <c r="L1357" t="b">
        <v>0</v>
      </c>
      <c r="M1357" t="b">
        <v>0</v>
      </c>
      <c r="N1357" t="inlineStr">
        <is>
          <t>alt</t>
        </is>
      </c>
      <c r="O1357" t="n">
        <v>-80</v>
      </c>
      <c r="P1357" t="n">
        <v>0.09760000000000001</v>
      </c>
      <c r="Q1357" t="n">
        <v>-85</v>
      </c>
      <c r="R1357" t="n">
        <v>0.6733</v>
      </c>
      <c r="S1357">
        <f>IMAGE("https://mitra.stanford.edu/kundaje/oak/projects/neuro-variants/variant_position/credible/roussos_2024/variant_figures/roussos_2024.adolescence.Astrocyte/rs189443571_count_position.png",4,220,900)</f>
        <v/>
      </c>
      <c r="T1357">
        <f>IMAGE("https://mitra.stanford.edu/kundaje/oak/projects/neuro-variants/variant_position/credible/roussos_2024/variant_figures/roussos_2024.adolescence.Astrocyte/rs189443571_profile_position.png",4,220,900)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0.145943564</v>
      </c>
      <c r="G1358" t="n">
        <v>0.0351883962969</v>
      </c>
      <c r="H1358" t="n">
        <v>0.0188424198540819</v>
      </c>
      <c r="I1358" t="n">
        <v>0.1654623504169153</v>
      </c>
      <c r="J1358" t="n">
        <v>0.0165111414414146</v>
      </c>
      <c r="K1358" t="n">
        <v>0.597039890705207</v>
      </c>
      <c r="L1358" t="b">
        <v>0</v>
      </c>
      <c r="M1358" t="b">
        <v>0</v>
      </c>
      <c r="N1358" t="inlineStr">
        <is>
          <t>alt</t>
        </is>
      </c>
      <c r="O1358" t="n">
        <v>-100</v>
      </c>
      <c r="P1358" t="n">
        <v>0.0615</v>
      </c>
      <c r="Q1358" t="n">
        <v>-30</v>
      </c>
      <c r="R1358" t="n">
        <v>0.01082</v>
      </c>
      <c r="S1358">
        <f>IMAGE("https://mitra.stanford.edu/kundaje/oak/projects/neuro-variants/variant_position/credible/roussos_2024/variant_figures/roussos_2024.adolescence.Astrocyte/rs73470164_count_position.png",4,220,900)</f>
        <v/>
      </c>
      <c r="T1358">
        <f>IMAGE("https://mitra.stanford.edu/kundaje/oak/projects/neuro-variants/variant_position/credible/roussos_2024/variant_figures/roussos_2024.adolescence.Astrocyte/rs73470164_profile_position.png",4,220,900)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0.0129351506999999</v>
      </c>
      <c r="G1359" t="n">
        <v>0.6453409490302809</v>
      </c>
      <c r="H1359" t="n">
        <v>0.012584200541704</v>
      </c>
      <c r="I1359" t="n">
        <v>0.5032046845749624</v>
      </c>
      <c r="J1359" t="n">
        <v>0.7050210663739133</v>
      </c>
      <c r="K1359" t="n">
        <v>0.0178296385471454</v>
      </c>
      <c r="L1359" t="b">
        <v>0</v>
      </c>
      <c r="M1359" t="b">
        <v>0</v>
      </c>
      <c r="N1359" t="inlineStr">
        <is>
          <t>alt</t>
        </is>
      </c>
      <c r="O1359" t="n">
        <v>-85</v>
      </c>
      <c r="P1359" t="n">
        <v>0.00483</v>
      </c>
      <c r="Q1359" t="n">
        <v>100</v>
      </c>
      <c r="R1359" t="n">
        <v>0.1708</v>
      </c>
      <c r="S1359">
        <f>IMAGE("https://mitra.stanford.edu/kundaje/oak/projects/neuro-variants/variant_position/credible/roussos_2024/variant_figures/roussos_2024.adolescence.Astrocyte/rs4786488_count_position.png",4,220,900)</f>
        <v/>
      </c>
      <c r="T1359">
        <f>IMAGE("https://mitra.stanford.edu/kundaje/oak/projects/neuro-variants/variant_position/credible/roussos_2024/variant_figures/roussos_2024.adolescence.Astrocyte/rs4786488_profile_position.png",4,220,900)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-0.0299044279</v>
      </c>
      <c r="G1360" t="n">
        <v>0.3522806827241478</v>
      </c>
      <c r="H1360" t="n">
        <v>0.0125063283170542</v>
      </c>
      <c r="I1360" t="n">
        <v>0.5040778314965096</v>
      </c>
      <c r="J1360" t="n">
        <v>0.2570817137940243</v>
      </c>
      <c r="K1360" t="n">
        <v>0.1629595972580257</v>
      </c>
      <c r="L1360" t="b">
        <v>0</v>
      </c>
      <c r="M1360" t="b">
        <v>0</v>
      </c>
      <c r="N1360" t="inlineStr">
        <is>
          <t>ref</t>
        </is>
      </c>
      <c r="O1360" t="n">
        <v>95</v>
      </c>
      <c r="P1360" t="n">
        <v>0.0007477</v>
      </c>
      <c r="Q1360" t="n">
        <v>-100</v>
      </c>
      <c r="R1360" t="n">
        <v>0.3555</v>
      </c>
      <c r="S1360">
        <f>IMAGE("https://mitra.stanford.edu/kundaje/oak/projects/neuro-variants/variant_position/credible/roussos_2024/variant_figures/roussos_2024.adolescence.Astrocyte/rs6500602_count_position.png",4,220,900)</f>
        <v/>
      </c>
      <c r="T1360">
        <f>IMAGE("https://mitra.stanford.edu/kundaje/oak/projects/neuro-variants/variant_position/credible/roussos_2024/variant_figures/roussos_2024.adolescence.Astrocyte/rs6500602_profile_position.png",4,220,900)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-0.04955395512</v>
      </c>
      <c r="G1361" t="n">
        <v>0.2441770543050024</v>
      </c>
      <c r="H1361" t="n">
        <v>0.0175207690890701</v>
      </c>
      <c r="I1361" t="n">
        <v>0.2114631358554021</v>
      </c>
      <c r="J1361" t="n">
        <v>0.0238865976322582</v>
      </c>
      <c r="K1361" t="n">
        <v>0.5599494856850661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0.005615</v>
      </c>
      <c r="Q1361" t="n">
        <v>-80</v>
      </c>
      <c r="R1361" t="n">
        <v>0.05994</v>
      </c>
      <c r="S1361">
        <f>IMAGE("https://mitra.stanford.edu/kundaje/oak/projects/neuro-variants/variant_position/credible/roussos_2024/variant_figures/roussos_2024.adolescence.Astrocyte/rs6500606_count_position.png",4,220,900)</f>
        <v/>
      </c>
      <c r="T1361">
        <f>IMAGE("https://mitra.stanford.edu/kundaje/oak/projects/neuro-variants/variant_position/credible/roussos_2024/variant_figures/roussos_2024.adolescence.Astrocyte/rs6500606_profile_position.png",4,220,900)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0.0322446498</v>
      </c>
      <c r="G1362" t="n">
        <v>0.3831420571413682</v>
      </c>
      <c r="H1362" t="n">
        <v>0.0507103973915029</v>
      </c>
      <c r="I1362" t="n">
        <v>0.0037250356756662</v>
      </c>
      <c r="J1362" t="n">
        <v>0.0154711746728777</v>
      </c>
      <c r="K1362" t="n">
        <v>0.6076081848631838</v>
      </c>
      <c r="L1362" t="b">
        <v>1</v>
      </c>
      <c r="M1362" t="b">
        <v>0</v>
      </c>
      <c r="N1362" t="inlineStr">
        <is>
          <t>alt</t>
        </is>
      </c>
      <c r="O1362" t="n">
        <v>-100</v>
      </c>
      <c r="P1362" t="n">
        <v>0.09705</v>
      </c>
      <c r="Q1362" t="n">
        <v>-100</v>
      </c>
      <c r="R1362" t="n">
        <v>0.1072</v>
      </c>
      <c r="S1362">
        <f>IMAGE("https://mitra.stanford.edu/kundaje/oak/projects/neuro-variants/variant_position/credible/roussos_2024/variant_figures/roussos_2024.adolescence.Astrocyte/rs11076833_count_position.png",4,220,900)</f>
        <v/>
      </c>
      <c r="T1362">
        <f>IMAGE("https://mitra.stanford.edu/kundaje/oak/projects/neuro-variants/variant_position/credible/roussos_2024/variant_figures/roussos_2024.adolescence.Astrocyte/rs11076833_profile_position.png",4,220,900)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-0.0291717675199999</v>
      </c>
      <c r="G1363" t="n">
        <v>0.3210645817468833</v>
      </c>
      <c r="H1363" t="n">
        <v>0.0114422521627779</v>
      </c>
      <c r="I1363" t="n">
        <v>0.5964111867524412</v>
      </c>
      <c r="J1363" t="n">
        <v>0.1986974453312761</v>
      </c>
      <c r="K1363" t="n">
        <v>0.2053273521243279</v>
      </c>
      <c r="L1363" t="b">
        <v>0</v>
      </c>
      <c r="M1363" t="b">
        <v>0</v>
      </c>
      <c r="N1363" t="inlineStr">
        <is>
          <t>ref</t>
        </is>
      </c>
      <c r="O1363" t="n">
        <v>95</v>
      </c>
      <c r="P1363" t="n">
        <v>0.001816</v>
      </c>
      <c r="Q1363" t="n">
        <v>30</v>
      </c>
      <c r="R1363" t="n">
        <v>0.073</v>
      </c>
      <c r="S1363">
        <f>IMAGE("https://mitra.stanford.edu/kundaje/oak/projects/neuro-variants/variant_position/credible/roussos_2024/variant_figures/roussos_2024.adolescence.Astrocyte/rs4786501_count_position.png",4,220,900)</f>
        <v/>
      </c>
      <c r="T1363">
        <f>IMAGE("https://mitra.stanford.edu/kundaje/oak/projects/neuro-variants/variant_position/credible/roussos_2024/variant_figures/roussos_2024.adolescence.Astrocyte/rs4786501_profile_position.png",4,220,900)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-0.021523528</v>
      </c>
      <c r="G1364" t="n">
        <v>0.5176059373123351</v>
      </c>
      <c r="H1364" t="n">
        <v>0.0365254596070389</v>
      </c>
      <c r="I1364" t="n">
        <v>0.014129422041811</v>
      </c>
      <c r="J1364" t="n">
        <v>0.0571195442542206</v>
      </c>
      <c r="K1364" t="n">
        <v>0.416042960696737</v>
      </c>
      <c r="L1364" t="b">
        <v>1</v>
      </c>
      <c r="M1364" t="b">
        <v>0</v>
      </c>
      <c r="N1364" t="inlineStr">
        <is>
          <t>ref</t>
        </is>
      </c>
      <c r="O1364" t="n">
        <v>35</v>
      </c>
      <c r="P1364" t="n">
        <v>0.01624</v>
      </c>
      <c r="Q1364" t="n">
        <v>-100</v>
      </c>
      <c r="R1364" t="n">
        <v>0.1582</v>
      </c>
      <c r="S1364">
        <f>IMAGE("https://mitra.stanford.edu/kundaje/oak/projects/neuro-variants/variant_position/credible/roussos_2024/variant_figures/roussos_2024.adolescence.Astrocyte/rs4786502_count_position.png",4,220,900)</f>
        <v/>
      </c>
      <c r="T1364">
        <f>IMAGE("https://mitra.stanford.edu/kundaje/oak/projects/neuro-variants/variant_position/credible/roussos_2024/variant_figures/roussos_2024.adolescence.Astrocyte/rs4786502_profile_position.png",4,220,900)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-0.1121734534</v>
      </c>
      <c r="G1365" t="n">
        <v>0.07159186855961849</v>
      </c>
      <c r="H1365" t="n">
        <v>0.0215718768765337</v>
      </c>
      <c r="I1365" t="n">
        <v>0.1119531792115109</v>
      </c>
      <c r="J1365" t="n">
        <v>0.0420407678841645</v>
      </c>
      <c r="K1365" t="n">
        <v>0.4810149108358827</v>
      </c>
      <c r="L1365" t="b">
        <v>0</v>
      </c>
      <c r="M1365" t="b">
        <v>0</v>
      </c>
      <c r="N1365" t="inlineStr">
        <is>
          <t>ref</t>
        </is>
      </c>
      <c r="O1365" t="n">
        <v>25</v>
      </c>
      <c r="P1365" t="n">
        <v>0.01788</v>
      </c>
      <c r="Q1365" t="n">
        <v>-20</v>
      </c>
      <c r="R1365" t="n">
        <v>0.0779</v>
      </c>
      <c r="S1365">
        <f>IMAGE("https://mitra.stanford.edu/kundaje/oak/projects/neuro-variants/variant_position/credible/roussos_2024/variant_figures/roussos_2024.adolescence.Astrocyte/rs2270366_count_position.png",4,220,900)</f>
        <v/>
      </c>
      <c r="T1365">
        <f>IMAGE("https://mitra.stanford.edu/kundaje/oak/projects/neuro-variants/variant_position/credible/roussos_2024/variant_figures/roussos_2024.adolescence.Astrocyte/rs2270366_profile_position.png",4,220,900)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-0.06604482</v>
      </c>
      <c r="G1366" t="n">
        <v>0.1634907710942495</v>
      </c>
      <c r="H1366" t="n">
        <v>0.0122829053987686</v>
      </c>
      <c r="I1366" t="n">
        <v>0.527243144934628</v>
      </c>
      <c r="J1366" t="n">
        <v>0.1456331780553659</v>
      </c>
      <c r="K1366" t="n">
        <v>0.2720096238708125</v>
      </c>
      <c r="L1366" t="b">
        <v>0</v>
      </c>
      <c r="M1366" t="b">
        <v>0</v>
      </c>
      <c r="N1366" t="inlineStr">
        <is>
          <t>ref</t>
        </is>
      </c>
      <c r="O1366" t="n">
        <v>-85</v>
      </c>
      <c r="P1366" t="n">
        <v>0.002876</v>
      </c>
      <c r="Q1366" t="n">
        <v>-50</v>
      </c>
      <c r="R1366" t="n">
        <v>0.05896</v>
      </c>
      <c r="S1366">
        <f>IMAGE("https://mitra.stanford.edu/kundaje/oak/projects/neuro-variants/variant_position/credible/roussos_2024/variant_figures/roussos_2024.adolescence.Astrocyte/rs1051308_count_position.png",4,220,900)</f>
        <v/>
      </c>
      <c r="T1366">
        <f>IMAGE("https://mitra.stanford.edu/kundaje/oak/projects/neuro-variants/variant_position/credible/roussos_2024/variant_figures/roussos_2024.adolescence.Astrocyte/rs1051308_profile_position.png",4,220,900)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-0.051351652</v>
      </c>
      <c r="G1367" t="n">
        <v>0.2516444553172667</v>
      </c>
      <c r="H1367" t="n">
        <v>0.0135214792126526</v>
      </c>
      <c r="I1367" t="n">
        <v>0.4102889966900127</v>
      </c>
      <c r="J1367" t="n">
        <v>0.0486974453312761</v>
      </c>
      <c r="K1367" t="n">
        <v>0.4618491714644361</v>
      </c>
      <c r="L1367" t="b">
        <v>0</v>
      </c>
      <c r="M1367" t="b">
        <v>0</v>
      </c>
      <c r="N1367" t="inlineStr">
        <is>
          <t>ref</t>
        </is>
      </c>
      <c r="O1367" t="n">
        <v>10</v>
      </c>
      <c r="P1367" t="n">
        <v>0.0007057</v>
      </c>
      <c r="Q1367" t="n">
        <v>75</v>
      </c>
      <c r="R1367" t="n">
        <v>0.07006999999999999</v>
      </c>
      <c r="S1367">
        <f>IMAGE("https://mitra.stanford.edu/kundaje/oak/projects/neuro-variants/variant_position/credible/roussos_2024/variant_figures/roussos_2024.adolescence.Astrocyte/rs11076836_count_position.png",4,220,900)</f>
        <v/>
      </c>
      <c r="T1367">
        <f>IMAGE("https://mitra.stanford.edu/kundaje/oak/projects/neuro-variants/variant_position/credible/roussos_2024/variant_figures/roussos_2024.adolescence.Astrocyte/rs11076836_profile_position.png",4,220,900)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0.0058684881</v>
      </c>
      <c r="G1368" t="n">
        <v>0.5959171613139301</v>
      </c>
      <c r="H1368" t="n">
        <v>0.0127763061250812</v>
      </c>
      <c r="I1368" t="n">
        <v>0.4867171326587399</v>
      </c>
      <c r="J1368" t="n">
        <v>0.0517861911402545</v>
      </c>
      <c r="K1368" t="n">
        <v>0.4504417416383087</v>
      </c>
      <c r="L1368" t="b">
        <v>0</v>
      </c>
      <c r="M1368" t="b">
        <v>0</v>
      </c>
      <c r="N1368" t="inlineStr">
        <is>
          <t>alt</t>
        </is>
      </c>
      <c r="O1368" t="n">
        <v>-100</v>
      </c>
      <c r="P1368" t="n">
        <v>0.00232</v>
      </c>
      <c r="Q1368" t="n">
        <v>50</v>
      </c>
      <c r="R1368" t="n">
        <v>0.05054</v>
      </c>
      <c r="S1368">
        <f>IMAGE("https://mitra.stanford.edu/kundaje/oak/projects/neuro-variants/variant_position/credible/roussos_2024/variant_figures/roussos_2024.adolescence.Astrocyte/rs11076837_count_position.png",4,220,900)</f>
        <v/>
      </c>
      <c r="T1368">
        <f>IMAGE("https://mitra.stanford.edu/kundaje/oak/projects/neuro-variants/variant_position/credible/roussos_2024/variant_figures/roussos_2024.adolescence.Astrocyte/rs11076837_profile_position.png",4,220,900)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-0.02795352792</v>
      </c>
      <c r="G1369" t="n">
        <v>0.4159789173680059</v>
      </c>
      <c r="H1369" t="n">
        <v>0.009387997466933799</v>
      </c>
      <c r="I1369" t="n">
        <v>0.8088633072002562</v>
      </c>
      <c r="J1369" t="n">
        <v>0.2938432780464647</v>
      </c>
      <c r="K1369" t="n">
        <v>0.1371997984712309</v>
      </c>
      <c r="L1369" t="b">
        <v>0</v>
      </c>
      <c r="M1369" t="b">
        <v>0</v>
      </c>
      <c r="N1369" t="inlineStr">
        <is>
          <t>ref</t>
        </is>
      </c>
      <c r="O1369" t="n">
        <v>40</v>
      </c>
      <c r="P1369" t="n">
        <v>0.003166</v>
      </c>
      <c r="Q1369" t="n">
        <v>30</v>
      </c>
      <c r="R1369" t="n">
        <v>0.1367</v>
      </c>
      <c r="S1369">
        <f>IMAGE("https://mitra.stanford.edu/kundaje/oak/projects/neuro-variants/variant_position/credible/roussos_2024/variant_figures/roussos_2024.adolescence.Astrocyte/rs4786519_count_position.png",4,220,900)</f>
        <v/>
      </c>
      <c r="T1369">
        <f>IMAGE("https://mitra.stanford.edu/kundaje/oak/projects/neuro-variants/variant_position/credible/roussos_2024/variant_figures/roussos_2024.adolescence.Astrocyte/rs4786519_profile_position.png",4,220,900)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0.00819381074</v>
      </c>
      <c r="G1370" t="n">
        <v>0.6848481980679315</v>
      </c>
      <c r="H1370" t="n">
        <v>0.0118792875813563</v>
      </c>
      <c r="I1370" t="n">
        <v>0.5657062754192137</v>
      </c>
      <c r="J1370" t="n">
        <v>0.0514219802391477</v>
      </c>
      <c r="K1370" t="n">
        <v>0.4402888894631449</v>
      </c>
      <c r="L1370" t="b">
        <v>0</v>
      </c>
      <c r="M1370" t="b">
        <v>0</v>
      </c>
      <c r="N1370" t="inlineStr">
        <is>
          <t>alt</t>
        </is>
      </c>
      <c r="O1370" t="n">
        <v>-65</v>
      </c>
      <c r="P1370" t="n">
        <v>0.006744</v>
      </c>
      <c r="Q1370" t="n">
        <v>-65</v>
      </c>
      <c r="R1370" t="n">
        <v>0.11334</v>
      </c>
      <c r="S1370">
        <f>IMAGE("https://mitra.stanford.edu/kundaje/oak/projects/neuro-variants/variant_position/credible/roussos_2024/variant_figures/roussos_2024.adolescence.Astrocyte/rs12596497_count_position.png",4,220,900)</f>
        <v/>
      </c>
      <c r="T1370">
        <f>IMAGE("https://mitra.stanford.edu/kundaje/oak/projects/neuro-variants/variant_position/credible/roussos_2024/variant_figures/roussos_2024.adolescence.Astrocyte/rs12596497_profile_position.png",4,220,900)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0.00394489012</v>
      </c>
      <c r="G1371" t="n">
        <v>0.7974011310140346</v>
      </c>
      <c r="H1371" t="n">
        <v>0.0213231820465219</v>
      </c>
      <c r="I1371" t="n">
        <v>0.1107547895420386</v>
      </c>
      <c r="J1371" t="n">
        <v>0.2335303978874283</v>
      </c>
      <c r="K1371" t="n">
        <v>0.1780339884050042</v>
      </c>
      <c r="L1371" t="b">
        <v>0</v>
      </c>
      <c r="M1371" t="b">
        <v>0</v>
      </c>
      <c r="N1371" t="inlineStr">
        <is>
          <t>alt</t>
        </is>
      </c>
      <c r="O1371" t="n">
        <v>5</v>
      </c>
      <c r="P1371" t="n">
        <v>0.0001221</v>
      </c>
      <c r="Q1371" t="n">
        <v>95</v>
      </c>
      <c r="R1371" t="n">
        <v>0.1274</v>
      </c>
      <c r="S1371">
        <f>IMAGE("https://mitra.stanford.edu/kundaje/oak/projects/neuro-variants/variant_position/credible/roussos_2024/variant_figures/roussos_2024.adolescence.Astrocyte/rs929468_count_position.png",4,220,900)</f>
        <v/>
      </c>
      <c r="T1371">
        <f>IMAGE("https://mitra.stanford.edu/kundaje/oak/projects/neuro-variants/variant_position/credible/roussos_2024/variant_figures/roussos_2024.adolescence.Astrocyte/rs929468_profile_position.png",4,220,900)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-0.548367144</v>
      </c>
      <c r="G1372" t="n">
        <v>0.0008794823871215</v>
      </c>
      <c r="H1372" t="n">
        <v>0.06756252756751049</v>
      </c>
      <c r="I1372" t="n">
        <v>0.0012877700758354</v>
      </c>
      <c r="J1372" t="n">
        <v>0.3932787882384357</v>
      </c>
      <c r="K1372" t="n">
        <v>0.0902625248182308</v>
      </c>
      <c r="L1372" t="b">
        <v>1</v>
      </c>
      <c r="M1372" t="b">
        <v>1</v>
      </c>
      <c r="N1372" t="inlineStr">
        <is>
          <t>ref</t>
        </is>
      </c>
      <c r="O1372" t="n">
        <v>-95</v>
      </c>
      <c r="P1372" t="n">
        <v>0.02777</v>
      </c>
      <c r="Q1372" t="n">
        <v>-85</v>
      </c>
      <c r="R1372" t="n">
        <v>0.03223</v>
      </c>
      <c r="S1372">
        <f>IMAGE("https://mitra.stanford.edu/kundaje/oak/projects/neuro-variants/variant_position/credible/roussos_2024/variant_figures/roussos_2024.adolescence.Astrocyte/rs57105172_count_position.png",4,220,900)</f>
        <v/>
      </c>
      <c r="T1372">
        <f>IMAGE("https://mitra.stanford.edu/kundaje/oak/projects/neuro-variants/variant_position/credible/roussos_2024/variant_figures/roussos_2024.adolescence.Astrocyte/rs57105172_profile_position.png",4,220,900)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-0.00499617342</v>
      </c>
      <c r="G1373" t="n">
        <v>0.8657912526542396</v>
      </c>
      <c r="H1373" t="n">
        <v>0.0103598261380063</v>
      </c>
      <c r="I1373" t="n">
        <v>0.7143967988656019</v>
      </c>
      <c r="J1373" t="n">
        <v>0.0285189745719965</v>
      </c>
      <c r="K1373" t="n">
        <v>0.533153514000153</v>
      </c>
      <c r="L1373" t="b">
        <v>0</v>
      </c>
      <c r="M1373" t="b">
        <v>0</v>
      </c>
      <c r="N1373" t="inlineStr">
        <is>
          <t>ref</t>
        </is>
      </c>
      <c r="O1373" t="n">
        <v>-100</v>
      </c>
      <c r="P1373" t="n">
        <v>0.006596</v>
      </c>
      <c r="Q1373" t="n">
        <v>80</v>
      </c>
      <c r="R1373" t="n">
        <v>0.04114</v>
      </c>
      <c r="S1373">
        <f>IMAGE("https://mitra.stanford.edu/kundaje/oak/projects/neuro-variants/variant_position/credible/roussos_2024/variant_figures/roussos_2024.adolescence.Astrocyte/rs66926752_count_position.png",4,220,900)</f>
        <v/>
      </c>
      <c r="T1373">
        <f>IMAGE("https://mitra.stanford.edu/kundaje/oak/projects/neuro-variants/variant_position/credible/roussos_2024/variant_figures/roussos_2024.adolescence.Astrocyte/rs66926752_profile_position.png",4,220,900)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0.0309975564</v>
      </c>
      <c r="G1374" t="n">
        <v>0.4038016439073996</v>
      </c>
      <c r="H1374" t="n">
        <v>0.0282878372230713</v>
      </c>
      <c r="I1374" t="n">
        <v>0.0394478413249384</v>
      </c>
      <c r="J1374" t="n">
        <v>0.0103306827285404</v>
      </c>
      <c r="K1374" t="n">
        <v>0.6747850749696256</v>
      </c>
      <c r="L1374" t="b">
        <v>0</v>
      </c>
      <c r="M1374" t="b">
        <v>0</v>
      </c>
      <c r="N1374" t="inlineStr">
        <is>
          <t>alt</t>
        </is>
      </c>
      <c r="O1374" t="n">
        <v>10</v>
      </c>
      <c r="P1374" t="n">
        <v>0.005646</v>
      </c>
      <c r="Q1374" t="n">
        <v>65</v>
      </c>
      <c r="R1374" t="n">
        <v>0.09984999999999999</v>
      </c>
      <c r="S1374">
        <f>IMAGE("https://mitra.stanford.edu/kundaje/oak/projects/neuro-variants/variant_position/credible/roussos_2024/variant_figures/roussos_2024.adolescence.Astrocyte/rs11076959_count_position.png",4,220,900)</f>
        <v/>
      </c>
      <c r="T1374">
        <f>IMAGE("https://mitra.stanford.edu/kundaje/oak/projects/neuro-variants/variant_position/credible/roussos_2024/variant_figures/roussos_2024.adolescence.Astrocyte/rs11076959_profile_position.png",4,220,900)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-0.247650428</v>
      </c>
      <c r="G1375" t="n">
        <v>0.0123439308839589</v>
      </c>
      <c r="H1375" t="n">
        <v>0.0276505334118776</v>
      </c>
      <c r="I1375" t="n">
        <v>0.0432433797106336</v>
      </c>
      <c r="J1375" t="n">
        <v>0.0038846690205619</v>
      </c>
      <c r="K1375" t="n">
        <v>0.7732173484964613</v>
      </c>
      <c r="L1375" t="b">
        <v>1</v>
      </c>
      <c r="M1375" t="b">
        <v>0</v>
      </c>
      <c r="N1375" t="inlineStr">
        <is>
          <t>ref</t>
        </is>
      </c>
      <c r="O1375" t="n">
        <v>-20</v>
      </c>
      <c r="P1375" t="n">
        <v>0.001343</v>
      </c>
      <c r="Q1375" t="n">
        <v>-70</v>
      </c>
      <c r="R1375" t="n">
        <v>0.07153</v>
      </c>
      <c r="S1375">
        <f>IMAGE("https://mitra.stanford.edu/kundaje/oak/projects/neuro-variants/variant_position/credible/roussos_2024/variant_figures/roussos_2024.adolescence.Astrocyte/rs9929010_count_position.png",4,220,900)</f>
        <v/>
      </c>
      <c r="T1375">
        <f>IMAGE("https://mitra.stanford.edu/kundaje/oak/projects/neuro-variants/variant_position/credible/roussos_2024/variant_figures/roussos_2024.adolescence.Astrocyte/rs9929010_profile_position.png",4,220,900)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-0.0858190432</v>
      </c>
      <c r="G1376" t="n">
        <v>0.1001656045447014</v>
      </c>
      <c r="H1376" t="n">
        <v>0.0160349786475383</v>
      </c>
      <c r="I1376" t="n">
        <v>0.2792588570948303</v>
      </c>
      <c r="J1376" t="n">
        <v>0.0378734830727234</v>
      </c>
      <c r="K1376" t="n">
        <v>0.5015241398030555</v>
      </c>
      <c r="L1376" t="b">
        <v>0</v>
      </c>
      <c r="M1376" t="b">
        <v>0</v>
      </c>
      <c r="N1376" t="inlineStr">
        <is>
          <t>ref</t>
        </is>
      </c>
      <c r="O1376" t="n">
        <v>100</v>
      </c>
      <c r="P1376" t="n">
        <v>0.01308</v>
      </c>
      <c r="Q1376" t="n">
        <v>-100</v>
      </c>
      <c r="R1376" t="n">
        <v>0.1166</v>
      </c>
      <c r="S1376">
        <f>IMAGE("https://mitra.stanford.edu/kundaje/oak/projects/neuro-variants/variant_position/credible/roussos_2024/variant_figures/roussos_2024.adolescence.Astrocyte/rs6500717_count_position.png",4,220,900)</f>
        <v/>
      </c>
      <c r="T1376">
        <f>IMAGE("https://mitra.stanford.edu/kundaje/oak/projects/neuro-variants/variant_position/credible/roussos_2024/variant_figures/roussos_2024.adolescence.Astrocyte/rs6500717_profile_position.png",4,220,900)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-0.643620328</v>
      </c>
      <c r="G1377" t="n">
        <v>0.0004247127487315</v>
      </c>
      <c r="H1377" t="n">
        <v>0.0534815901535551</v>
      </c>
      <c r="I1377" t="n">
        <v>0.0032806781343285</v>
      </c>
      <c r="J1377" t="n">
        <v>0.4106919265347298</v>
      </c>
      <c r="K1377" t="n">
        <v>0.0838990952534527</v>
      </c>
      <c r="L1377" t="b">
        <v>1</v>
      </c>
      <c r="M1377" t="b">
        <v>1</v>
      </c>
      <c r="N1377" t="inlineStr">
        <is>
          <t>ref</t>
        </is>
      </c>
      <c r="O1377" t="n">
        <v>30</v>
      </c>
      <c r="P1377" t="n">
        <v>0.00232</v>
      </c>
      <c r="Q1377" t="n">
        <v>-10</v>
      </c>
      <c r="R1377" t="n">
        <v>0.0547</v>
      </c>
      <c r="S1377">
        <f>IMAGE("https://mitra.stanford.edu/kundaje/oak/projects/neuro-variants/variant_position/credible/roussos_2024/variant_figures/roussos_2024.adolescence.Astrocyte/rs7189389_count_position.png",4,220,900)</f>
        <v/>
      </c>
      <c r="T1377">
        <f>IMAGE("https://mitra.stanford.edu/kundaje/oak/projects/neuro-variants/variant_position/credible/roussos_2024/variant_figures/roussos_2024.adolescence.Astrocyte/rs7189389_profile_position.png",4,220,900)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0.0017489879799999</v>
      </c>
      <c r="G1378" t="n">
        <v>0.742412544426325</v>
      </c>
      <c r="H1378" t="n">
        <v>0.0216981958641574</v>
      </c>
      <c r="I1378" t="n">
        <v>0.1039094678101023</v>
      </c>
      <c r="J1378" t="n">
        <v>0.0039862920214817</v>
      </c>
      <c r="K1378" t="n">
        <v>0.763975222256102</v>
      </c>
      <c r="L1378" t="b">
        <v>0</v>
      </c>
      <c r="M1378" t="b">
        <v>0</v>
      </c>
      <c r="N1378" t="inlineStr">
        <is>
          <t>alt</t>
        </is>
      </c>
      <c r="O1378" t="n">
        <v>-5</v>
      </c>
      <c r="P1378" t="n">
        <v>0.000484</v>
      </c>
      <c r="Q1378" t="n">
        <v>85</v>
      </c>
      <c r="R1378" t="n">
        <v>0.1947</v>
      </c>
      <c r="S1378">
        <f>IMAGE("https://mitra.stanford.edu/kundaje/oak/projects/neuro-variants/variant_position/credible/roussos_2024/variant_figures/roussos_2024.adolescence.Astrocyte/rs3900820_count_position.png",4,220,900)</f>
        <v/>
      </c>
      <c r="T1378">
        <f>IMAGE("https://mitra.stanford.edu/kundaje/oak/projects/neuro-variants/variant_position/credible/roussos_2024/variant_figures/roussos_2024.adolescence.Astrocyte/rs3900820_profile_position.png",4,220,900)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-0.0005762293</v>
      </c>
      <c r="G1379" t="n">
        <v>0.7599354012286551</v>
      </c>
      <c r="H1379" t="n">
        <v>0.0121496566745348</v>
      </c>
      <c r="I1379" t="n">
        <v>0.544100705547365</v>
      </c>
      <c r="J1379" t="n">
        <v>0.0816181052131857</v>
      </c>
      <c r="K1379" t="n">
        <v>0.3598028867677215</v>
      </c>
      <c r="L1379" t="b">
        <v>0</v>
      </c>
      <c r="M1379" t="b">
        <v>0</v>
      </c>
      <c r="N1379" t="inlineStr">
        <is>
          <t>ref</t>
        </is>
      </c>
      <c r="O1379" t="n">
        <v>-85</v>
      </c>
      <c r="P1379" t="n">
        <v>0.00657</v>
      </c>
      <c r="Q1379" t="n">
        <v>-100</v>
      </c>
      <c r="R1379" t="n">
        <v>0.1011</v>
      </c>
      <c r="S1379">
        <f>IMAGE("https://mitra.stanford.edu/kundaje/oak/projects/neuro-variants/variant_position/credible/roussos_2024/variant_figures/roussos_2024.adolescence.Astrocyte/rs9927114_count_position.png",4,220,900)</f>
        <v/>
      </c>
      <c r="T1379">
        <f>IMAGE("https://mitra.stanford.edu/kundaje/oak/projects/neuro-variants/variant_position/credible/roussos_2024/variant_figures/roussos_2024.adolescence.Astrocyte/rs9927114_profile_position.png",4,220,900)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-0.0211001781999999</v>
      </c>
      <c r="G1380" t="n">
        <v>0.5480420890303812</v>
      </c>
      <c r="H1380" t="n">
        <v>0.0163581433782567</v>
      </c>
      <c r="I1380" t="n">
        <v>0.2560672096141589</v>
      </c>
      <c r="J1380" t="n">
        <v>0.0828420318665993</v>
      </c>
      <c r="K1380" t="n">
        <v>0.3570556658086026</v>
      </c>
      <c r="L1380" t="b">
        <v>0</v>
      </c>
      <c r="M1380" t="b">
        <v>0</v>
      </c>
      <c r="N1380" t="inlineStr">
        <is>
          <t>ref</t>
        </is>
      </c>
      <c r="O1380" t="n">
        <v>-95</v>
      </c>
      <c r="P1380" t="n">
        <v>0.005287</v>
      </c>
      <c r="Q1380" t="n">
        <v>-100</v>
      </c>
      <c r="R1380" t="n">
        <v>0.07854999999999999</v>
      </c>
      <c r="S1380">
        <f>IMAGE("https://mitra.stanford.edu/kundaje/oak/projects/neuro-variants/variant_position/credible/roussos_2024/variant_figures/roussos_2024.adolescence.Astrocyte/rs9927115_count_position.png",4,220,900)</f>
        <v/>
      </c>
      <c r="T1380">
        <f>IMAGE("https://mitra.stanford.edu/kundaje/oak/projects/neuro-variants/variant_position/credible/roussos_2024/variant_figures/roussos_2024.adolescence.Astrocyte/rs9927115_profile_position.png",4,220,900)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0.0462021492</v>
      </c>
      <c r="G1381" t="n">
        <v>0.2854662777080777</v>
      </c>
      <c r="H1381" t="n">
        <v>0.0154561574564144</v>
      </c>
      <c r="I1381" t="n">
        <v>0.2983171669757435</v>
      </c>
      <c r="J1381" t="n">
        <v>0.1773514227220128</v>
      </c>
      <c r="K1381" t="n">
        <v>0.2256277841424117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0.02243</v>
      </c>
      <c r="Q1381" t="n">
        <v>100</v>
      </c>
      <c r="R1381" t="n">
        <v>0.2717</v>
      </c>
      <c r="S1381">
        <f>IMAGE("https://mitra.stanford.edu/kundaje/oak/projects/neuro-variants/variant_position/credible/roussos_2024/variant_figures/roussos_2024.adolescence.Astrocyte/rs9927274_count_position.png",4,220,900)</f>
        <v/>
      </c>
      <c r="T1381">
        <f>IMAGE("https://mitra.stanford.edu/kundaje/oak/projects/neuro-variants/variant_position/credible/roussos_2024/variant_figures/roussos_2024.adolescence.Astrocyte/rs9927274_profile_position.png",4,220,900)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0.01140973112</v>
      </c>
      <c r="G1382" t="n">
        <v>0.6133715744988719</v>
      </c>
      <c r="H1382" t="n">
        <v>0.0136027722993285</v>
      </c>
      <c r="I1382" t="n">
        <v>0.4180774015128184</v>
      </c>
      <c r="J1382" t="n">
        <v>0.2560996053763759</v>
      </c>
      <c r="K1382" t="n">
        <v>0.1618922728021801</v>
      </c>
      <c r="L1382" t="b">
        <v>0</v>
      </c>
      <c r="M1382" t="b">
        <v>0</v>
      </c>
      <c r="N1382" t="inlineStr">
        <is>
          <t>alt</t>
        </is>
      </c>
      <c r="O1382" t="n">
        <v>100</v>
      </c>
      <c r="P1382" t="n">
        <v>0.0425</v>
      </c>
      <c r="Q1382" t="n">
        <v>70</v>
      </c>
      <c r="R1382" t="n">
        <v>0.3276</v>
      </c>
      <c r="S1382">
        <f>IMAGE("https://mitra.stanford.edu/kundaje/oak/projects/neuro-variants/variant_position/credible/roussos_2024/variant_figures/roussos_2024.adolescence.Astrocyte/rs9929578_count_position.png",4,220,900)</f>
        <v/>
      </c>
      <c r="T1382">
        <f>IMAGE("https://mitra.stanford.edu/kundaje/oak/projects/neuro-variants/variant_position/credible/roussos_2024/variant_figures/roussos_2024.adolescence.Astrocyte/rs9929578_profile_position.png",4,220,900)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0.08405903319999999</v>
      </c>
      <c r="G1383" t="n">
        <v>0.1033277042354534</v>
      </c>
      <c r="H1383" t="n">
        <v>0.0191300829739012</v>
      </c>
      <c r="I1383" t="n">
        <v>0.158740497835965</v>
      </c>
      <c r="J1383" t="n">
        <v>0.000723229386108</v>
      </c>
      <c r="K1383" t="n">
        <v>0.8903260445132634</v>
      </c>
      <c r="L1383" t="b">
        <v>0</v>
      </c>
      <c r="M1383" t="b">
        <v>0</v>
      </c>
      <c r="N1383" t="inlineStr">
        <is>
          <t>alt</t>
        </is>
      </c>
      <c r="O1383" t="n">
        <v>-55</v>
      </c>
      <c r="P1383" t="n">
        <v>0.00534</v>
      </c>
      <c r="Q1383" t="n">
        <v>20</v>
      </c>
      <c r="R1383" t="n">
        <v>0.05002</v>
      </c>
      <c r="S1383">
        <f>IMAGE("https://mitra.stanford.edu/kundaje/oak/projects/neuro-variants/variant_position/credible/roussos_2024/variant_figures/roussos_2024.adolescence.Astrocyte/rs11648113_count_position.png",4,220,900)</f>
        <v/>
      </c>
      <c r="T1383">
        <f>IMAGE("https://mitra.stanford.edu/kundaje/oak/projects/neuro-variants/variant_position/credible/roussos_2024/variant_figures/roussos_2024.adolescence.Astrocyte/rs11648113_profile_position.png",4,220,900)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-0.02488478626</v>
      </c>
      <c r="G1384" t="n">
        <v>0.4746832592594588</v>
      </c>
      <c r="H1384" t="n">
        <v>0.010678361995484</v>
      </c>
      <c r="I1384" t="n">
        <v>0.6879937433068785</v>
      </c>
      <c r="J1384" t="n">
        <v>0.0131486811263091</v>
      </c>
      <c r="K1384" t="n">
        <v>0.6266787448930494</v>
      </c>
      <c r="L1384" t="b">
        <v>0</v>
      </c>
      <c r="M1384" t="b">
        <v>0</v>
      </c>
      <c r="N1384" t="inlineStr">
        <is>
          <t>ref</t>
        </is>
      </c>
      <c r="O1384" t="n">
        <v>-45</v>
      </c>
      <c r="P1384" t="n">
        <v>0.01332</v>
      </c>
      <c r="Q1384" t="n">
        <v>-100</v>
      </c>
      <c r="R1384" t="n">
        <v>0.1824</v>
      </c>
      <c r="S1384">
        <f>IMAGE("https://mitra.stanford.edu/kundaje/oak/projects/neuro-variants/variant_position/credible/roussos_2024/variant_figures/roussos_2024.adolescence.Astrocyte/rs7198618_count_position.png",4,220,900)</f>
        <v/>
      </c>
      <c r="T1384">
        <f>IMAGE("https://mitra.stanford.edu/kundaje/oak/projects/neuro-variants/variant_position/credible/roussos_2024/variant_figures/roussos_2024.adolescence.Astrocyte/rs7198618_profile_position.png",4,220,900)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-0.00542400718</v>
      </c>
      <c r="G1385" t="n">
        <v>0.771417792068222</v>
      </c>
      <c r="H1385" t="n">
        <v>0.020243606124164</v>
      </c>
      <c r="I1385" t="n">
        <v>0.1301925819901495</v>
      </c>
      <c r="J1385" t="n">
        <v>0.0045359463549238</v>
      </c>
      <c r="K1385" t="n">
        <v>0.7478561206823167</v>
      </c>
      <c r="L1385" t="b">
        <v>0</v>
      </c>
      <c r="M1385" t="b">
        <v>0</v>
      </c>
      <c r="N1385" t="inlineStr">
        <is>
          <t>ref</t>
        </is>
      </c>
      <c r="O1385" t="n">
        <v>-45</v>
      </c>
      <c r="P1385" t="n">
        <v>0.00591</v>
      </c>
      <c r="Q1385" t="n">
        <v>-20</v>
      </c>
      <c r="R1385" t="n">
        <v>0.05206</v>
      </c>
      <c r="S1385">
        <f>IMAGE("https://mitra.stanford.edu/kundaje/oak/projects/neuro-variants/variant_position/credible/roussos_2024/variant_figures/roussos_2024.adolescence.Astrocyte/rs11861310_count_position.png",4,220,900)</f>
        <v/>
      </c>
      <c r="T1385">
        <f>IMAGE("https://mitra.stanford.edu/kundaje/oak/projects/neuro-variants/variant_position/credible/roussos_2024/variant_figures/roussos_2024.adolescence.Astrocyte/rs11861310_profile_position.png",4,220,900)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-0.0284851202</v>
      </c>
      <c r="G1386" t="n">
        <v>0.4116314240685797</v>
      </c>
      <c r="H1386" t="n">
        <v>0.0086986984912203</v>
      </c>
      <c r="I1386" t="n">
        <v>0.8533906580840375</v>
      </c>
      <c r="J1386" t="n">
        <v>0.3553934367860427</v>
      </c>
      <c r="K1386" t="n">
        <v>0.1055078100495599</v>
      </c>
      <c r="L1386" t="b">
        <v>0</v>
      </c>
      <c r="M1386" t="b">
        <v>0</v>
      </c>
      <c r="N1386" t="inlineStr">
        <is>
          <t>ref</t>
        </is>
      </c>
      <c r="O1386" t="n">
        <v>90</v>
      </c>
      <c r="P1386" t="n">
        <v>0.04462</v>
      </c>
      <c r="Q1386" t="n">
        <v>95</v>
      </c>
      <c r="R1386" t="n">
        <v>0.336</v>
      </c>
      <c r="S1386">
        <f>IMAGE("https://mitra.stanford.edu/kundaje/oak/projects/neuro-variants/variant_position/credible/roussos_2024/variant_figures/roussos_2024.adolescence.Astrocyte/rs56142463_count_position.png",4,220,900)</f>
        <v/>
      </c>
      <c r="T1386">
        <f>IMAGE("https://mitra.stanford.edu/kundaje/oak/projects/neuro-variants/variant_position/credible/roussos_2024/variant_figures/roussos_2024.adolescence.Astrocyte/rs56142463_profile_position.png",4,220,900)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-0.006240604152</v>
      </c>
      <c r="G1387" t="n">
        <v>0.8430727194531444</v>
      </c>
      <c r="H1387" t="n">
        <v>0.009733050679180099</v>
      </c>
      <c r="I1387" t="n">
        <v>0.7870597122445543</v>
      </c>
      <c r="J1387" t="n">
        <v>0.4143303266771504</v>
      </c>
      <c r="K1387" t="n">
        <v>0.0828520943727887</v>
      </c>
      <c r="L1387" t="b">
        <v>0</v>
      </c>
      <c r="M1387" t="b">
        <v>0</v>
      </c>
      <c r="N1387" t="inlineStr">
        <is>
          <t>ref</t>
        </is>
      </c>
      <c r="O1387" t="n">
        <v>-60</v>
      </c>
      <c r="P1387" t="n">
        <v>0.007694</v>
      </c>
      <c r="Q1387" t="n">
        <v>-70</v>
      </c>
      <c r="R1387" t="n">
        <v>0.0669</v>
      </c>
      <c r="S1387">
        <f>IMAGE("https://mitra.stanford.edu/kundaje/oak/projects/neuro-variants/variant_position/credible/roussos_2024/variant_figures/roussos_2024.adolescence.Astrocyte/rs12051021_count_position.png",4,220,900)</f>
        <v/>
      </c>
      <c r="T1387">
        <f>IMAGE("https://mitra.stanford.edu/kundaje/oak/projects/neuro-variants/variant_position/credible/roussos_2024/variant_figures/roussos_2024.adolescence.Astrocyte/rs12051021_profile_position.png",4,220,900)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-0.0116791041599999</v>
      </c>
      <c r="G1388" t="n">
        <v>0.4913712161176865</v>
      </c>
      <c r="H1388" t="n">
        <v>0.0123085156615405</v>
      </c>
      <c r="I1388" t="n">
        <v>0.522079361673157</v>
      </c>
      <c r="J1388" t="n">
        <v>0.1786606533543007</v>
      </c>
      <c r="K1388" t="n">
        <v>0.2284291306828725</v>
      </c>
      <c r="L1388" t="b">
        <v>0</v>
      </c>
      <c r="M1388" t="b">
        <v>0</v>
      </c>
      <c r="N1388" t="inlineStr">
        <is>
          <t>ref</t>
        </is>
      </c>
      <c r="O1388" t="n">
        <v>-45</v>
      </c>
      <c r="P1388" t="n">
        <v>0.00417</v>
      </c>
      <c r="Q1388" t="n">
        <v>-5</v>
      </c>
      <c r="R1388" t="n">
        <v>0.02216</v>
      </c>
      <c r="S1388">
        <f>IMAGE("https://mitra.stanford.edu/kundaje/oak/projects/neuro-variants/variant_position/credible/roussos_2024/variant_figures/roussos_2024.adolescence.Astrocyte/rs17143361_count_position.png",4,220,900)</f>
        <v/>
      </c>
      <c r="T1388">
        <f>IMAGE("https://mitra.stanford.edu/kundaje/oak/projects/neuro-variants/variant_position/credible/roussos_2024/variant_figures/roussos_2024.adolescence.Astrocyte/rs17143361_profile_position.png",4,220,900)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0.0055046804</v>
      </c>
      <c r="G1389" t="n">
        <v>0.7928200678398464</v>
      </c>
      <c r="H1389" t="n">
        <v>0.0254910221994736</v>
      </c>
      <c r="I1389" t="n">
        <v>0.0582734826973824</v>
      </c>
      <c r="J1389" t="n">
        <v>0.0003923983028216</v>
      </c>
      <c r="K1389" t="n">
        <v>0.9353392032484178</v>
      </c>
      <c r="L1389" t="b">
        <v>0</v>
      </c>
      <c r="M1389" t="b">
        <v>0</v>
      </c>
      <c r="N1389" t="inlineStr">
        <is>
          <t>alt</t>
        </is>
      </c>
      <c r="O1389" t="n">
        <v>5</v>
      </c>
      <c r="P1389" t="n">
        <v>0.00277</v>
      </c>
      <c r="Q1389" t="n">
        <v>10</v>
      </c>
      <c r="R1389" t="n">
        <v>0.03152</v>
      </c>
      <c r="S1389">
        <f>IMAGE("https://mitra.stanford.edu/kundaje/oak/projects/neuro-variants/variant_position/credible/roussos_2024/variant_figures/roussos_2024.adolescence.Astrocyte/rs4331351_count_position.png",4,220,900)</f>
        <v/>
      </c>
      <c r="T1389">
        <f>IMAGE("https://mitra.stanford.edu/kundaje/oak/projects/neuro-variants/variant_position/credible/roussos_2024/variant_figures/roussos_2024.adolescence.Astrocyte/rs4331351_profile_position.png",4,220,900)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0.009737544799999999</v>
      </c>
      <c r="G1390" t="n">
        <v>0.3447016650520597</v>
      </c>
      <c r="H1390" t="n">
        <v>0.0102753553349223</v>
      </c>
      <c r="I1390" t="n">
        <v>0.7296255359997385</v>
      </c>
      <c r="J1390" t="n">
        <v>0.5388296294098448</v>
      </c>
      <c r="K1390" t="n">
        <v>0.0462688972146917</v>
      </c>
      <c r="L1390" t="b">
        <v>0</v>
      </c>
      <c r="M1390" t="b">
        <v>0</v>
      </c>
      <c r="N1390" t="inlineStr">
        <is>
          <t>alt</t>
        </is>
      </c>
      <c r="O1390" t="n">
        <v>-80</v>
      </c>
      <c r="P1390" t="n">
        <v>0.05402</v>
      </c>
      <c r="Q1390" t="n">
        <v>-45</v>
      </c>
      <c r="R1390" t="n">
        <v>0.0542</v>
      </c>
      <c r="S1390">
        <f>IMAGE("https://mitra.stanford.edu/kundaje/oak/projects/neuro-variants/variant_position/credible/roussos_2024/variant_figures/roussos_2024.adolescence.Astrocyte/rs4479249_count_position.png",4,220,900)</f>
        <v/>
      </c>
      <c r="T1390">
        <f>IMAGE("https://mitra.stanford.edu/kundaje/oak/projects/neuro-variants/variant_position/credible/roussos_2024/variant_figures/roussos_2024.adolescence.Astrocyte/rs4479249_profile_position.png",4,220,900)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-0.09519456799999999</v>
      </c>
      <c r="G1391" t="n">
        <v>0.0990735534808453</v>
      </c>
      <c r="H1391" t="n">
        <v>0.0205292497940799</v>
      </c>
      <c r="I1391" t="n">
        <v>0.1347176551869708</v>
      </c>
      <c r="J1391" t="n">
        <v>0.0321032252321751</v>
      </c>
      <c r="K1391" t="n">
        <v>0.5129101521813728</v>
      </c>
      <c r="L1391" t="b">
        <v>0</v>
      </c>
      <c r="M1391" t="b">
        <v>0</v>
      </c>
      <c r="N1391" t="inlineStr">
        <is>
          <t>ref</t>
        </is>
      </c>
      <c r="O1391" t="n">
        <v>10</v>
      </c>
      <c r="P1391" t="n">
        <v>0.0002079</v>
      </c>
      <c r="Q1391" t="n">
        <v>-60</v>
      </c>
      <c r="R1391" t="n">
        <v>0.1418</v>
      </c>
      <c r="S1391">
        <f>IMAGE("https://mitra.stanford.edu/kundaje/oak/projects/neuro-variants/variant_position/credible/roussos_2024/variant_figures/roussos_2024.adolescence.Astrocyte/rs4787008_count_position.png",4,220,900)</f>
        <v/>
      </c>
      <c r="T1391">
        <f>IMAGE("https://mitra.stanford.edu/kundaje/oak/projects/neuro-variants/variant_position/credible/roussos_2024/variant_figures/roussos_2024.adolescence.Astrocyte/rs4787008_profile_position.png",4,220,900)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-0.057667011</v>
      </c>
      <c r="G1392" t="n">
        <v>0.1164348863728165</v>
      </c>
      <c r="H1392" t="n">
        <v>0.0135374398074813</v>
      </c>
      <c r="I1392" t="n">
        <v>0.4218088478359812</v>
      </c>
      <c r="J1392" t="n">
        <v>0.05677091060143</v>
      </c>
      <c r="K1392" t="n">
        <v>0.4238538393433362</v>
      </c>
      <c r="L1392" t="b">
        <v>0</v>
      </c>
      <c r="M1392" t="b">
        <v>0</v>
      </c>
      <c r="N1392" t="inlineStr">
        <is>
          <t>ref</t>
        </is>
      </c>
      <c r="O1392" t="n">
        <v>85</v>
      </c>
      <c r="P1392" t="n">
        <v>0.003937</v>
      </c>
      <c r="Q1392" t="n">
        <v>50</v>
      </c>
      <c r="R1392" t="n">
        <v>0.03857</v>
      </c>
      <c r="S1392">
        <f>IMAGE("https://mitra.stanford.edu/kundaje/oak/projects/neuro-variants/variant_position/credible/roussos_2024/variant_figures/roussos_2024.adolescence.Astrocyte/rs8055816_count_position.png",4,220,900)</f>
        <v/>
      </c>
      <c r="T1392">
        <f>IMAGE("https://mitra.stanford.edu/kundaje/oak/projects/neuro-variants/variant_position/credible/roussos_2024/variant_figures/roussos_2024.adolescence.Astrocyte/rs8055816_profile_position.png",4,220,900)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0.0383451910999999</v>
      </c>
      <c r="G1393" t="n">
        <v>0.3384090012395899</v>
      </c>
      <c r="H1393" t="n">
        <v>0.0092270081160877</v>
      </c>
      <c r="I1393" t="n">
        <v>0.8211386228799077</v>
      </c>
      <c r="J1393" t="n">
        <v>0.0141545263032964</v>
      </c>
      <c r="K1393" t="n">
        <v>0.6191335442272503</v>
      </c>
      <c r="L1393" t="b">
        <v>0</v>
      </c>
      <c r="M1393" t="b">
        <v>0</v>
      </c>
      <c r="N1393" t="inlineStr">
        <is>
          <t>alt</t>
        </is>
      </c>
      <c r="O1393" t="n">
        <v>100</v>
      </c>
      <c r="P1393" t="n">
        <v>0.009094</v>
      </c>
      <c r="Q1393" t="n">
        <v>65</v>
      </c>
      <c r="R1393" t="n">
        <v>0.0969</v>
      </c>
      <c r="S1393">
        <f>IMAGE("https://mitra.stanford.edu/kundaje/oak/projects/neuro-variants/variant_position/credible/roussos_2024/variant_figures/roussos_2024.adolescence.Astrocyte/rs2077923_count_position.png",4,220,900)</f>
        <v/>
      </c>
      <c r="T1393">
        <f>IMAGE("https://mitra.stanford.edu/kundaje/oak/projects/neuro-variants/variant_position/credible/roussos_2024/variant_figures/roussos_2024.adolescence.Astrocyte/rs2077923_profile_position.png",4,220,900)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0.0815301762</v>
      </c>
      <c r="G1394" t="n">
        <v>0.1099520859341268</v>
      </c>
      <c r="H1394" t="n">
        <v>0.0181130205935649</v>
      </c>
      <c r="I1394" t="n">
        <v>0.1877560638487009</v>
      </c>
      <c r="J1394" t="n">
        <v>0.4067493991632792</v>
      </c>
      <c r="K1394" t="n">
        <v>0.08419342768162349</v>
      </c>
      <c r="L1394" t="b">
        <v>0</v>
      </c>
      <c r="M1394" t="b">
        <v>0</v>
      </c>
      <c r="N1394" t="inlineStr">
        <is>
          <t>alt</t>
        </is>
      </c>
      <c r="O1394" t="n">
        <v>-20</v>
      </c>
      <c r="P1394" t="n">
        <v>9.155e-05</v>
      </c>
      <c r="Q1394" t="n">
        <v>70</v>
      </c>
      <c r="R1394" t="n">
        <v>0.021</v>
      </c>
      <c r="S1394">
        <f>IMAGE("https://mitra.stanford.edu/kundaje/oak/projects/neuro-variants/variant_position/credible/roussos_2024/variant_figures/roussos_2024.adolescence.Astrocyte/rs2267787_count_position.png",4,220,900)</f>
        <v/>
      </c>
      <c r="T1394">
        <f>IMAGE("https://mitra.stanford.edu/kundaje/oak/projects/neuro-variants/variant_position/credible/roussos_2024/variant_figures/roussos_2024.adolescence.Astrocyte/rs2267787_profile_position.png",4,220,900)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-0.07315327029999991</v>
      </c>
      <c r="G1395" t="n">
        <v>0.194437738517832</v>
      </c>
      <c r="H1395" t="n">
        <v>0.0221739677921941</v>
      </c>
      <c r="I1395" t="n">
        <v>0.0983791238693647</v>
      </c>
      <c r="J1395" t="n">
        <v>0.3287956561730409</v>
      </c>
      <c r="K1395" t="n">
        <v>0.1187817735497994</v>
      </c>
      <c r="L1395" t="b">
        <v>0</v>
      </c>
      <c r="M1395" t="b">
        <v>0</v>
      </c>
      <c r="N1395" t="inlineStr">
        <is>
          <t>ref</t>
        </is>
      </c>
      <c r="O1395" t="n">
        <v>-100</v>
      </c>
      <c r="P1395" t="n">
        <v>0.02576</v>
      </c>
      <c r="Q1395" t="n">
        <v>-100</v>
      </c>
      <c r="R1395" t="n">
        <v>0.3381</v>
      </c>
      <c r="S1395">
        <f>IMAGE("https://mitra.stanford.edu/kundaje/oak/projects/neuro-variants/variant_position/credible/roussos_2024/variant_figures/roussos_2024.adolescence.Astrocyte/rs7195942_count_position.png",4,220,900)</f>
        <v/>
      </c>
      <c r="T1395">
        <f>IMAGE("https://mitra.stanford.edu/kundaje/oak/projects/neuro-variants/variant_position/credible/roussos_2024/variant_figures/roussos_2024.adolescence.Astrocyte/rs7195942_profile_position.png",4,220,900)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-0.0095969071</v>
      </c>
      <c r="G1396" t="n">
        <v>0.7304711899008474</v>
      </c>
      <c r="H1396" t="n">
        <v>0.009563061867781299</v>
      </c>
      <c r="I1396" t="n">
        <v>0.794826615774776</v>
      </c>
      <c r="J1396" t="n">
        <v>0.0565743405631545</v>
      </c>
      <c r="K1396" t="n">
        <v>0.4261163354466931</v>
      </c>
      <c r="L1396" t="b">
        <v>0</v>
      </c>
      <c r="M1396" t="b">
        <v>0</v>
      </c>
      <c r="N1396" t="inlineStr">
        <is>
          <t>ref</t>
        </is>
      </c>
      <c r="O1396" t="n">
        <v>75</v>
      </c>
      <c r="P1396" t="n">
        <v>0.00932</v>
      </c>
      <c r="Q1396" t="n">
        <v>70</v>
      </c>
      <c r="R1396" t="n">
        <v>0.01929</v>
      </c>
      <c r="S1396">
        <f>IMAGE("https://mitra.stanford.edu/kundaje/oak/projects/neuro-variants/variant_position/credible/roussos_2024/variant_figures/roussos_2024.adolescence.Astrocyte/rs7195835_count_position.png",4,220,900)</f>
        <v/>
      </c>
      <c r="T1396">
        <f>IMAGE("https://mitra.stanford.edu/kundaje/oak/projects/neuro-variants/variant_position/credible/roussos_2024/variant_figures/roussos_2024.adolescence.Astrocyte/rs7195835_profile_position.png",4,220,900)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-0.276049216</v>
      </c>
      <c r="G1397" t="n">
        <v>0.0111256872955334</v>
      </c>
      <c r="H1397" t="n">
        <v>0.0272323762837702</v>
      </c>
      <c r="I1397" t="n">
        <v>0.0483975918518593</v>
      </c>
      <c r="J1397" t="n">
        <v>0.023964483873839</v>
      </c>
      <c r="K1397" t="n">
        <v>0.5732746800920943</v>
      </c>
      <c r="L1397" t="b">
        <v>1</v>
      </c>
      <c r="M1397" t="b">
        <v>0</v>
      </c>
      <c r="N1397" t="inlineStr">
        <is>
          <t>ref</t>
        </is>
      </c>
      <c r="O1397" t="n">
        <v>15</v>
      </c>
      <c r="P1397" t="n">
        <v>0.004578</v>
      </c>
      <c r="Q1397" t="n">
        <v>-15</v>
      </c>
      <c r="R1397" t="n">
        <v>0.0664</v>
      </c>
      <c r="S1397">
        <f>IMAGE("https://mitra.stanford.edu/kundaje/oak/projects/neuro-variants/variant_position/credible/roussos_2024/variant_figures/roussos_2024.adolescence.Astrocyte/rs7196962_count_position.png",4,220,900)</f>
        <v/>
      </c>
      <c r="T1397">
        <f>IMAGE("https://mitra.stanford.edu/kundaje/oak/projects/neuro-variants/variant_position/credible/roussos_2024/variant_figures/roussos_2024.adolescence.Astrocyte/rs7196962_profile_position.png",4,220,900)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-0.4764548979999999</v>
      </c>
      <c r="G1398" t="n">
        <v>0.001523862981253</v>
      </c>
      <c r="H1398" t="n">
        <v>0.0595301313772214</v>
      </c>
      <c r="I1398" t="n">
        <v>0.0020246686782879</v>
      </c>
      <c r="J1398" t="n">
        <v>0.0246254042666824</v>
      </c>
      <c r="K1398" t="n">
        <v>0.5699638211338693</v>
      </c>
      <c r="L1398" t="b">
        <v>1</v>
      </c>
      <c r="M1398" t="b">
        <v>1</v>
      </c>
      <c r="N1398" t="inlineStr">
        <is>
          <t>ref</t>
        </is>
      </c>
      <c r="O1398" t="n">
        <v>-90</v>
      </c>
      <c r="P1398" t="n">
        <v>0.009939999999999999</v>
      </c>
      <c r="Q1398" t="n">
        <v>-90</v>
      </c>
      <c r="R1398" t="n">
        <v>0.199</v>
      </c>
      <c r="S1398">
        <f>IMAGE("https://mitra.stanford.edu/kundaje/oak/projects/neuro-variants/variant_position/credible/roussos_2024/variant_figures/roussos_2024.adolescence.Astrocyte/rs7197004_count_position.png",4,220,900)</f>
        <v/>
      </c>
      <c r="T1398">
        <f>IMAGE("https://mitra.stanford.edu/kundaje/oak/projects/neuro-variants/variant_position/credible/roussos_2024/variant_figures/roussos_2024.adolescence.Astrocyte/rs7197004_profile_position.png",4,220,900)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-0.022336331</v>
      </c>
      <c r="G1399" t="n">
        <v>0.5211143880792771</v>
      </c>
      <c r="H1399" t="n">
        <v>0.0162407187578329</v>
      </c>
      <c r="I1399" t="n">
        <v>0.25895350578489</v>
      </c>
      <c r="J1399" t="n">
        <v>0.0241202563570008</v>
      </c>
      <c r="K1399" t="n">
        <v>0.5615012314254401</v>
      </c>
      <c r="L1399" t="b">
        <v>0</v>
      </c>
      <c r="M1399" t="b">
        <v>0</v>
      </c>
      <c r="N1399" t="inlineStr">
        <is>
          <t>ref</t>
        </is>
      </c>
      <c r="O1399" t="n">
        <v>-100</v>
      </c>
      <c r="P1399" t="n">
        <v>0.02678</v>
      </c>
      <c r="Q1399" t="n">
        <v>-100</v>
      </c>
      <c r="R1399" t="n">
        <v>0.1837</v>
      </c>
      <c r="S1399">
        <f>IMAGE("https://mitra.stanford.edu/kundaje/oak/projects/neuro-variants/variant_position/credible/roussos_2024/variant_figures/roussos_2024.adolescence.Astrocyte/rs9972744_count_position.png",4,220,900)</f>
        <v/>
      </c>
      <c r="T1399">
        <f>IMAGE("https://mitra.stanford.edu/kundaje/oak/projects/neuro-variants/variant_position/credible/roussos_2024/variant_figures/roussos_2024.adolescence.Astrocyte/rs9972744_profile_position.png",4,220,900)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-0.0008716184</v>
      </c>
      <c r="G1400" t="n">
        <v>0.8548395002910252</v>
      </c>
      <c r="H1400" t="n">
        <v>0.0241611076956966</v>
      </c>
      <c r="I1400" t="n">
        <v>0.07269739106329109</v>
      </c>
      <c r="J1400" t="n">
        <v>0.1188373438566299</v>
      </c>
      <c r="K1400" t="n">
        <v>0.2911611777320506</v>
      </c>
      <c r="L1400" t="b">
        <v>0</v>
      </c>
      <c r="M1400" t="b">
        <v>0</v>
      </c>
      <c r="N1400" t="inlineStr">
        <is>
          <t>ref</t>
        </is>
      </c>
      <c r="O1400" t="n">
        <v>-85</v>
      </c>
      <c r="P1400" t="n">
        <v>0.02496</v>
      </c>
      <c r="Q1400" t="n">
        <v>-100</v>
      </c>
      <c r="R1400" t="n">
        <v>0.1873</v>
      </c>
      <c r="S1400">
        <f>IMAGE("https://mitra.stanford.edu/kundaje/oak/projects/neuro-variants/variant_position/credible/roussos_2024/variant_figures/roussos_2024.adolescence.Astrocyte/rs11648283_count_position.png",4,220,900)</f>
        <v/>
      </c>
      <c r="T1400">
        <f>IMAGE("https://mitra.stanford.edu/kundaje/oak/projects/neuro-variants/variant_position/credible/roussos_2024/variant_figures/roussos_2024.adolescence.Astrocyte/rs11648283_profile_position.png",4,220,900)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0.1032114386</v>
      </c>
      <c r="G1401" t="n">
        <v>0.093970945317496</v>
      </c>
      <c r="H1401" t="n">
        <v>0.0198474019080993</v>
      </c>
      <c r="I1401" t="n">
        <v>0.1408321621812555</v>
      </c>
      <c r="J1401" t="n">
        <v>0.0314719757885054</v>
      </c>
      <c r="K1401" t="n">
        <v>0.5069184934179535</v>
      </c>
      <c r="L1401" t="b">
        <v>0</v>
      </c>
      <c r="M1401" t="b">
        <v>0</v>
      </c>
      <c r="N1401" t="inlineStr">
        <is>
          <t>alt</t>
        </is>
      </c>
      <c r="O1401" t="n">
        <v>65</v>
      </c>
      <c r="P1401" t="n">
        <v>0.01627</v>
      </c>
      <c r="Q1401" t="n">
        <v>65</v>
      </c>
      <c r="R1401" t="n">
        <v>0.2258</v>
      </c>
      <c r="S1401">
        <f>IMAGE("https://mitra.stanford.edu/kundaje/oak/projects/neuro-variants/variant_position/credible/roussos_2024/variant_figures/roussos_2024.adolescence.Astrocyte/rs9930307_count_position.png",4,220,900)</f>
        <v/>
      </c>
      <c r="T1401">
        <f>IMAGE("https://mitra.stanford.edu/kundaje/oak/projects/neuro-variants/variant_position/credible/roussos_2024/variant_figures/roussos_2024.adolescence.Astrocyte/rs9930307_profile_position.png",4,220,900)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0.1273381248</v>
      </c>
      <c r="G1402" t="n">
        <v>0.0498766652213268</v>
      </c>
      <c r="H1402" t="n">
        <v>0.0139710193147329</v>
      </c>
      <c r="I1402" t="n">
        <v>0.4002411972635887</v>
      </c>
      <c r="J1402" t="n">
        <v>0.0357557190754532</v>
      </c>
      <c r="K1402" t="n">
        <v>0.4867061448295857</v>
      </c>
      <c r="L1402" t="b">
        <v>0</v>
      </c>
      <c r="M1402" t="b">
        <v>0</v>
      </c>
      <c r="N1402" t="inlineStr">
        <is>
          <t>alt</t>
        </is>
      </c>
      <c r="O1402" t="n">
        <v>-10</v>
      </c>
      <c r="P1402" t="n">
        <v>0.00296</v>
      </c>
      <c r="Q1402" t="n">
        <v>-10</v>
      </c>
      <c r="R1402" t="n">
        <v>0.0525</v>
      </c>
      <c r="S1402">
        <f>IMAGE("https://mitra.stanford.edu/kundaje/oak/projects/neuro-variants/variant_position/credible/roussos_2024/variant_figures/roussos_2024.adolescence.Astrocyte/rs9940856_count_position.png",4,220,900)</f>
        <v/>
      </c>
      <c r="T1402">
        <f>IMAGE("https://mitra.stanford.edu/kundaje/oak/projects/neuro-variants/variant_position/credible/roussos_2024/variant_figures/roussos_2024.adolescence.Astrocyte/rs9940856_profile_position.png",4,220,900)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-0.0320011284</v>
      </c>
      <c r="G1403" t="n">
        <v>0.4073662370778493</v>
      </c>
      <c r="H1403" t="n">
        <v>0.0335231705919815</v>
      </c>
      <c r="I1403" t="n">
        <v>0.0199926198767753</v>
      </c>
      <c r="J1403" t="n">
        <v>0.0418078509331513</v>
      </c>
      <c r="K1403" t="n">
        <v>0.473866123139216</v>
      </c>
      <c r="L1403" t="b">
        <v>1</v>
      </c>
      <c r="M1403" t="b">
        <v>0</v>
      </c>
      <c r="N1403" t="inlineStr">
        <is>
          <t>ref</t>
        </is>
      </c>
      <c r="O1403" t="n">
        <v>-100</v>
      </c>
      <c r="P1403" t="n">
        <v>0.002625</v>
      </c>
      <c r="Q1403" t="n">
        <v>-100</v>
      </c>
      <c r="R1403" t="n">
        <v>0.1945</v>
      </c>
      <c r="S1403">
        <f>IMAGE("https://mitra.stanford.edu/kundaje/oak/projects/neuro-variants/variant_position/credible/roussos_2024/variant_figures/roussos_2024.adolescence.Astrocyte/rs7184107_count_position.png",4,220,900)</f>
        <v/>
      </c>
      <c r="T1403">
        <f>IMAGE("https://mitra.stanford.edu/kundaje/oak/projects/neuro-variants/variant_position/credible/roussos_2024/variant_figures/roussos_2024.adolescence.Astrocyte/rs7184107_profile_position.png",4,220,900)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-0.08054901628</v>
      </c>
      <c r="G1404" t="n">
        <v>0.1398809148429251</v>
      </c>
      <c r="H1404" t="n">
        <v>0.0172144949098957</v>
      </c>
      <c r="I1404" t="n">
        <v>0.2182193215474164</v>
      </c>
      <c r="J1404" t="n">
        <v>0.1803993709758775</v>
      </c>
      <c r="K1404" t="n">
        <v>0.2222010108931922</v>
      </c>
      <c r="L1404" t="b">
        <v>0</v>
      </c>
      <c r="M1404" t="b">
        <v>0</v>
      </c>
      <c r="N1404" t="inlineStr">
        <is>
          <t>ref</t>
        </is>
      </c>
      <c r="O1404" t="n">
        <v>-90</v>
      </c>
      <c r="P1404" t="n">
        <v>0.01251</v>
      </c>
      <c r="Q1404" t="n">
        <v>0</v>
      </c>
      <c r="R1404" t="n">
        <v>0</v>
      </c>
      <c r="S1404">
        <f>IMAGE("https://mitra.stanford.edu/kundaje/oak/projects/neuro-variants/variant_position/credible/roussos_2024/variant_figures/roussos_2024.adolescence.Astrocyte/rs10468229_count_position.png",4,220,900)</f>
        <v/>
      </c>
      <c r="T1404">
        <f>IMAGE("https://mitra.stanford.edu/kundaje/oak/projects/neuro-variants/variant_position/credible/roussos_2024/variant_figures/roussos_2024.adolescence.Astrocyte/rs10468229_profile_position.png",4,220,900)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0.1086084326</v>
      </c>
      <c r="G1405" t="n">
        <v>0.1016367431772819</v>
      </c>
      <c r="H1405" t="n">
        <v>0.0233760373070291</v>
      </c>
      <c r="I1405" t="n">
        <v>0.1020051140053409</v>
      </c>
      <c r="J1405" t="n">
        <v>0.0211895083523721</v>
      </c>
      <c r="K1405" t="n">
        <v>0.6152154920407032</v>
      </c>
      <c r="L1405" t="b">
        <v>0</v>
      </c>
      <c r="M1405" t="b">
        <v>0</v>
      </c>
      <c r="N1405" t="inlineStr">
        <is>
          <t>alt</t>
        </is>
      </c>
      <c r="O1405" t="n">
        <v>-45</v>
      </c>
      <c r="P1405" t="n">
        <v>0.006226</v>
      </c>
      <c r="Q1405" t="n">
        <v>95</v>
      </c>
      <c r="R1405" t="n">
        <v>0.2042</v>
      </c>
      <c r="S1405">
        <f>IMAGE("https://mitra.stanford.edu/kundaje/oak/projects/neuro-variants/variant_position/credible/roussos_2024/variant_figures/roussos_2024.adolescence.Astrocyte/rs11649466_count_position.png",4,220,900)</f>
        <v/>
      </c>
      <c r="T1405">
        <f>IMAGE("https://mitra.stanford.edu/kundaje/oak/projects/neuro-variants/variant_position/credible/roussos_2024/variant_figures/roussos_2024.adolescence.Astrocyte/rs11649466_profile_position.png",4,220,900)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0.0513236943999999</v>
      </c>
      <c r="G1406" t="n">
        <v>0.2596636769028951</v>
      </c>
      <c r="H1406" t="n">
        <v>0.0121612086276114</v>
      </c>
      <c r="I1406" t="n">
        <v>0.5399939677235068</v>
      </c>
      <c r="J1406" t="n">
        <v>0.0023143340355457</v>
      </c>
      <c r="K1406" t="n">
        <v>0.8333297682137617</v>
      </c>
      <c r="L1406" t="b">
        <v>0</v>
      </c>
      <c r="M1406" t="b">
        <v>0</v>
      </c>
      <c r="N1406" t="inlineStr">
        <is>
          <t>alt</t>
        </is>
      </c>
      <c r="O1406" t="n">
        <v>-70</v>
      </c>
      <c r="P1406" t="n">
        <v>0.00712</v>
      </c>
      <c r="Q1406" t="n">
        <v>75</v>
      </c>
      <c r="R1406" t="n">
        <v>0.136</v>
      </c>
      <c r="S1406">
        <f>IMAGE("https://mitra.stanford.edu/kundaje/oak/projects/neuro-variants/variant_position/credible/roussos_2024/variant_figures/roussos_2024.adolescence.Astrocyte/rs11645219_count_position.png",4,220,900)</f>
        <v/>
      </c>
      <c r="T1406">
        <f>IMAGE("https://mitra.stanford.edu/kundaje/oak/projects/neuro-variants/variant_position/credible/roussos_2024/variant_figures/roussos_2024.adolescence.Astrocyte/rs11645219_profile_position.png",4,220,900)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-0.00663005294</v>
      </c>
      <c r="G1407" t="n">
        <v>0.8014680912716067</v>
      </c>
      <c r="H1407" t="n">
        <v>0.028694203028569</v>
      </c>
      <c r="I1407" t="n">
        <v>0.0373533888773481</v>
      </c>
      <c r="J1407" t="n">
        <v>0.0532222650802598</v>
      </c>
      <c r="K1407" t="n">
        <v>0.4251252128791219</v>
      </c>
      <c r="L1407" t="b">
        <v>0</v>
      </c>
      <c r="M1407" t="b">
        <v>0</v>
      </c>
      <c r="N1407" t="inlineStr">
        <is>
          <t>ref</t>
        </is>
      </c>
      <c r="O1407" t="n">
        <v>-100</v>
      </c>
      <c r="P1407" t="n">
        <v>0.1691</v>
      </c>
      <c r="Q1407" t="n">
        <v>-95</v>
      </c>
      <c r="R1407" t="n">
        <v>0.1509</v>
      </c>
      <c r="S1407">
        <f>IMAGE("https://mitra.stanford.edu/kundaje/oak/projects/neuro-variants/variant_position/credible/roussos_2024/variant_figures/roussos_2024.adolescence.Astrocyte/rs1420042_count_position.png",4,220,900)</f>
        <v/>
      </c>
      <c r="T1407">
        <f>IMAGE("https://mitra.stanford.edu/kundaje/oak/projects/neuro-variants/variant_position/credible/roussos_2024/variant_figures/roussos_2024.adolescence.Astrocyte/rs1420042_profile_position.png",4,220,900)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-0.0741438572</v>
      </c>
      <c r="G1408" t="n">
        <v>0.1388307441633318</v>
      </c>
      <c r="H1408" t="n">
        <v>0.0109405558146504</v>
      </c>
      <c r="I1408" t="n">
        <v>0.6409726589725843</v>
      </c>
      <c r="J1408" t="n">
        <v>0.2821566329406877</v>
      </c>
      <c r="K1408" t="n">
        <v>0.1443239117306935</v>
      </c>
      <c r="L1408" t="b">
        <v>0</v>
      </c>
      <c r="M1408" t="b">
        <v>0</v>
      </c>
      <c r="N1408" t="inlineStr">
        <is>
          <t>ref</t>
        </is>
      </c>
      <c r="O1408" t="n">
        <v>90</v>
      </c>
      <c r="P1408" t="n">
        <v>0.01645</v>
      </c>
      <c r="Q1408" t="n">
        <v>15</v>
      </c>
      <c r="R1408" t="n">
        <v>0.04028</v>
      </c>
      <c r="S1408">
        <f>IMAGE("https://mitra.stanford.edu/kundaje/oak/projects/neuro-variants/variant_position/credible/roussos_2024/variant_figures/roussos_2024.adolescence.Astrocyte/rs7196708_count_position.png",4,220,900)</f>
        <v/>
      </c>
      <c r="T1408">
        <f>IMAGE("https://mitra.stanford.edu/kundaje/oak/projects/neuro-variants/variant_position/credible/roussos_2024/variant_figures/roussos_2024.adolescence.Astrocyte/rs7196708_profile_position.png",4,220,900)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0.0660731416</v>
      </c>
      <c r="G1409" t="n">
        <v>0.1552216524690897</v>
      </c>
      <c r="H1409" t="n">
        <v>0.0121964568975513</v>
      </c>
      <c r="I1409" t="n">
        <v>0.5374539569565104</v>
      </c>
      <c r="J1409" t="n">
        <v>0.508935406343649</v>
      </c>
      <c r="K1409" t="n">
        <v>0.0537773336354877</v>
      </c>
      <c r="L1409" t="b">
        <v>0</v>
      </c>
      <c r="M1409" t="b">
        <v>0</v>
      </c>
      <c r="N1409" t="inlineStr">
        <is>
          <t>alt</t>
        </is>
      </c>
      <c r="O1409" t="n">
        <v>-95</v>
      </c>
      <c r="P1409" t="n">
        <v>0.01044</v>
      </c>
      <c r="Q1409" t="n">
        <v>-95</v>
      </c>
      <c r="R1409" t="n">
        <v>0.615</v>
      </c>
      <c r="S1409">
        <f>IMAGE("https://mitra.stanford.edu/kundaje/oak/projects/neuro-variants/variant_position/credible/roussos_2024/variant_figures/roussos_2024.adolescence.Astrocyte/rs6497523_count_position.png",4,220,900)</f>
        <v/>
      </c>
      <c r="T1409">
        <f>IMAGE("https://mitra.stanford.edu/kundaje/oak/projects/neuro-variants/variant_position/credible/roussos_2024/variant_figures/roussos_2024.adolescence.Astrocyte/rs6497523_profile_position.png",4,220,900)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-0.01767255652</v>
      </c>
      <c r="G1410" t="n">
        <v>0.558858506473751</v>
      </c>
      <c r="H1410" t="n">
        <v>0.0121764547864598</v>
      </c>
      <c r="I1410" t="n">
        <v>0.5353037989450682</v>
      </c>
      <c r="J1410" t="n">
        <v>0.0026577752722309</v>
      </c>
      <c r="K1410" t="n">
        <v>0.7942704234907889</v>
      </c>
      <c r="L1410" t="b">
        <v>0</v>
      </c>
      <c r="M1410" t="b">
        <v>0</v>
      </c>
      <c r="N1410" t="inlineStr">
        <is>
          <t>ref</t>
        </is>
      </c>
      <c r="O1410" t="n">
        <v>30</v>
      </c>
      <c r="P1410" t="n">
        <v>0.009735000000000001</v>
      </c>
      <c r="Q1410" t="n">
        <v>-100</v>
      </c>
      <c r="R1410" t="n">
        <v>0.1798</v>
      </c>
      <c r="S1410">
        <f>IMAGE("https://mitra.stanford.edu/kundaje/oak/projects/neuro-variants/variant_position/credible/roussos_2024/variant_figures/roussos_2024.adolescence.Astrocyte/rs35440248_count_position.png",4,220,900)</f>
        <v/>
      </c>
      <c r="T1410">
        <f>IMAGE("https://mitra.stanford.edu/kundaje/oak/projects/neuro-variants/variant_position/credible/roussos_2024/variant_figures/roussos_2024.adolescence.Astrocyte/rs35440248_profile_position.png",4,220,900)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0.0033287081832</v>
      </c>
      <c r="G1411" t="n">
        <v>0.768232815159215</v>
      </c>
      <c r="H1411" t="n">
        <v>0.0358968454636968</v>
      </c>
      <c r="I1411" t="n">
        <v>0.01515131842035</v>
      </c>
      <c r="J1411" t="n">
        <v>0.0006564697504672</v>
      </c>
      <c r="K1411" t="n">
        <v>0.936045280075859</v>
      </c>
      <c r="L1411" t="b">
        <v>0</v>
      </c>
      <c r="M1411" t="b">
        <v>0</v>
      </c>
      <c r="N1411" t="inlineStr">
        <is>
          <t>alt</t>
        </is>
      </c>
      <c r="O1411" t="n">
        <v>65</v>
      </c>
      <c r="P1411" t="n">
        <v>0.012024</v>
      </c>
      <c r="Q1411" t="n">
        <v>100</v>
      </c>
      <c r="R1411" t="n">
        <v>0.06444999999999999</v>
      </c>
      <c r="S1411">
        <f>IMAGE("https://mitra.stanford.edu/kundaje/oak/projects/neuro-variants/variant_position/credible/roussos_2024/variant_figures/roussos_2024.adolescence.Astrocyte/rs8047364_count_position.png",4,220,900)</f>
        <v/>
      </c>
      <c r="T1411">
        <f>IMAGE("https://mitra.stanford.edu/kundaje/oak/projects/neuro-variants/variant_position/credible/roussos_2024/variant_figures/roussos_2024.adolescence.Astrocyte/rs8047364_profile_position.png",4,220,900)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-0.0606140817</v>
      </c>
      <c r="G1412" t="n">
        <v>0.1948244843997446</v>
      </c>
      <c r="H1412" t="n">
        <v>0.0122676973574721</v>
      </c>
      <c r="I1412" t="n">
        <v>0.5143623892613386</v>
      </c>
      <c r="J1412" t="n">
        <v>0.04229371272587</v>
      </c>
      <c r="K1412" t="n">
        <v>0.4641629476247513</v>
      </c>
      <c r="L1412" t="b">
        <v>0</v>
      </c>
      <c r="M1412" t="b">
        <v>0</v>
      </c>
      <c r="N1412" t="inlineStr">
        <is>
          <t>ref</t>
        </is>
      </c>
      <c r="O1412" t="n">
        <v>95</v>
      </c>
      <c r="P1412" t="n">
        <v>0.006</v>
      </c>
      <c r="Q1412" t="n">
        <v>95</v>
      </c>
      <c r="R1412" t="n">
        <v>0.1909</v>
      </c>
      <c r="S1412">
        <f>IMAGE("https://mitra.stanford.edu/kundaje/oak/projects/neuro-variants/variant_position/credible/roussos_2024/variant_figures/roussos_2024.adolescence.Astrocyte/rs9933832_count_position.png",4,220,900)</f>
        <v/>
      </c>
      <c r="T1412">
        <f>IMAGE("https://mitra.stanford.edu/kundaje/oak/projects/neuro-variants/variant_position/credible/roussos_2024/variant_figures/roussos_2024.adolescence.Astrocyte/rs9933832_profile_position.png",4,220,900)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-0.03459080608</v>
      </c>
      <c r="G1413" t="n">
        <v>0.3656262207404843</v>
      </c>
      <c r="H1413" t="n">
        <v>0.0101985666595812</v>
      </c>
      <c r="I1413" t="n">
        <v>0.7165262837344633</v>
      </c>
      <c r="J1413" t="n">
        <v>0.2073465270153991</v>
      </c>
      <c r="K1413" t="n">
        <v>0.1965100726706221</v>
      </c>
      <c r="L1413" t="b">
        <v>0</v>
      </c>
      <c r="M1413" t="b">
        <v>0</v>
      </c>
      <c r="N1413" t="inlineStr">
        <is>
          <t>ref</t>
        </is>
      </c>
      <c r="O1413" t="n">
        <v>-10</v>
      </c>
      <c r="P1413" t="n">
        <v>0.002434</v>
      </c>
      <c r="Q1413" t="n">
        <v>75</v>
      </c>
      <c r="R1413" t="n">
        <v>0.1547</v>
      </c>
      <c r="S1413">
        <f>IMAGE("https://mitra.stanford.edu/kundaje/oak/projects/neuro-variants/variant_position/credible/roussos_2024/variant_figures/roussos_2024.adolescence.Astrocyte/rs727605_count_position.png",4,220,900)</f>
        <v/>
      </c>
      <c r="T1413">
        <f>IMAGE("https://mitra.stanford.edu/kundaje/oak/projects/neuro-variants/variant_position/credible/roussos_2024/variant_figures/roussos_2024.adolescence.Astrocyte/rs727605_profile_position.png",4,220,900)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0.00310287226</v>
      </c>
      <c r="G1414" t="n">
        <v>0.457931207579453</v>
      </c>
      <c r="H1414" t="n">
        <v>0.0301943126236692</v>
      </c>
      <c r="I1414" t="n">
        <v>0.0305177085327278</v>
      </c>
      <c r="J1414" t="n">
        <v>0.0328034596326736</v>
      </c>
      <c r="K1414" t="n">
        <v>0.5041067330624186</v>
      </c>
      <c r="L1414" t="b">
        <v>0</v>
      </c>
      <c r="M1414" t="b">
        <v>0</v>
      </c>
      <c r="N1414" t="inlineStr">
        <is>
          <t>alt</t>
        </is>
      </c>
      <c r="O1414" t="n">
        <v>80</v>
      </c>
      <c r="P1414" t="n">
        <v>0.01682</v>
      </c>
      <c r="Q1414" t="n">
        <v>-40</v>
      </c>
      <c r="R1414" t="n">
        <v>0.009766</v>
      </c>
      <c r="S1414">
        <f>IMAGE("https://mitra.stanford.edu/kundaje/oak/projects/neuro-variants/variant_position/credible/roussos_2024/variant_figures/roussos_2024.adolescence.Astrocyte/rs9939815_count_position.png",4,220,900)</f>
        <v/>
      </c>
      <c r="T1414">
        <f>IMAGE("https://mitra.stanford.edu/kundaje/oak/projects/neuro-variants/variant_position/credible/roussos_2024/variant_figures/roussos_2024.adolescence.Astrocyte/rs9939815_profile_position.png",4,220,900)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0.07279685919999999</v>
      </c>
      <c r="G1415" t="n">
        <v>0.1500235681966627</v>
      </c>
      <c r="H1415" t="n">
        <v>0.0467943528534751</v>
      </c>
      <c r="I1415" t="n">
        <v>0.0050444747864403</v>
      </c>
      <c r="J1415" t="n">
        <v>0.0393978280865204</v>
      </c>
      <c r="K1415" t="n">
        <v>0.4760320386838842</v>
      </c>
      <c r="L1415" t="b">
        <v>1</v>
      </c>
      <c r="M1415" t="b">
        <v>0</v>
      </c>
      <c r="N1415" t="inlineStr">
        <is>
          <t>alt</t>
        </is>
      </c>
      <c r="O1415" t="n">
        <v>60</v>
      </c>
      <c r="P1415" t="n">
        <v>0.02039</v>
      </c>
      <c r="Q1415" t="n">
        <v>-45</v>
      </c>
      <c r="R1415" t="n">
        <v>0.01868</v>
      </c>
      <c r="S1415">
        <f>IMAGE("https://mitra.stanford.edu/kundaje/oak/projects/neuro-variants/variant_position/credible/roussos_2024/variant_figures/roussos_2024.adolescence.Astrocyte/rs9939817_count_position.png",4,220,900)</f>
        <v/>
      </c>
      <c r="T1415">
        <f>IMAGE("https://mitra.stanford.edu/kundaje/oak/projects/neuro-variants/variant_position/credible/roussos_2024/variant_figures/roussos_2024.adolescence.Astrocyte/rs9939817_profile_position.png",4,220,900)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-0.08129011948000001</v>
      </c>
      <c r="G1416" t="n">
        <v>0.125426969760095</v>
      </c>
      <c r="H1416" t="n">
        <v>0.0205334668185307</v>
      </c>
      <c r="I1416" t="n">
        <v>0.1275035583922854</v>
      </c>
      <c r="J1416" t="n">
        <v>0.0412211079132421</v>
      </c>
      <c r="K1416" t="n">
        <v>0.4701207031793696</v>
      </c>
      <c r="L1416" t="b">
        <v>0</v>
      </c>
      <c r="M1416" t="b">
        <v>0</v>
      </c>
      <c r="N1416" t="inlineStr">
        <is>
          <t>ref</t>
        </is>
      </c>
      <c r="O1416" t="n">
        <v>45</v>
      </c>
      <c r="P1416" t="n">
        <v>0.001038</v>
      </c>
      <c r="Q1416" t="n">
        <v>-95</v>
      </c>
      <c r="R1416" t="n">
        <v>0.04895</v>
      </c>
      <c r="S1416">
        <f>IMAGE("https://mitra.stanford.edu/kundaje/oak/projects/neuro-variants/variant_position/credible/roussos_2024/variant_figures/roussos_2024.adolescence.Astrocyte/rs7196023_count_position.png",4,220,900)</f>
        <v/>
      </c>
      <c r="T1416">
        <f>IMAGE("https://mitra.stanford.edu/kundaje/oak/projects/neuro-variants/variant_position/credible/roussos_2024/variant_figures/roussos_2024.adolescence.Astrocyte/rs7196023_profile_position.png",4,220,900)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-0.0141697911119999</v>
      </c>
      <c r="G1417" t="n">
        <v>0.6458789180371342</v>
      </c>
      <c r="H1417" t="n">
        <v>0.0102629392750465</v>
      </c>
      <c r="I1417" t="n">
        <v>0.7231610646137258</v>
      </c>
      <c r="J1417" t="n">
        <v>0.1068183841201079</v>
      </c>
      <c r="K1417" t="n">
        <v>0.3187998298672337</v>
      </c>
      <c r="L1417" t="b">
        <v>0</v>
      </c>
      <c r="M1417" t="b">
        <v>0</v>
      </c>
      <c r="N1417" t="inlineStr">
        <is>
          <t>ref</t>
        </is>
      </c>
      <c r="O1417" t="n">
        <v>-75</v>
      </c>
      <c r="P1417" t="n">
        <v>0.0228</v>
      </c>
      <c r="Q1417" t="n">
        <v>-90</v>
      </c>
      <c r="R1417" t="n">
        <v>0.3765</v>
      </c>
      <c r="S1417">
        <f>IMAGE("https://mitra.stanford.edu/kundaje/oak/projects/neuro-variants/variant_position/credible/roussos_2024/variant_figures/roussos_2024.adolescence.Astrocyte/rs16966529_count_position.png",4,220,900)</f>
        <v/>
      </c>
      <c r="T1417">
        <f>IMAGE("https://mitra.stanford.edu/kundaje/oak/projects/neuro-variants/variant_position/credible/roussos_2024/variant_figures/roussos_2024.adolescence.Astrocyte/rs16966529_profile_position.png",4,220,900)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0.0690569427999999</v>
      </c>
      <c r="G1418" t="n">
        <v>0.1466944354364295</v>
      </c>
      <c r="H1418" t="n">
        <v>0.014522416812167</v>
      </c>
      <c r="I1418" t="n">
        <v>0.3517801570084962</v>
      </c>
      <c r="J1418" t="n">
        <v>0.0065224164021006</v>
      </c>
      <c r="K1418" t="n">
        <v>0.7263507236533576</v>
      </c>
      <c r="L1418" t="b">
        <v>0</v>
      </c>
      <c r="M1418" t="b">
        <v>0</v>
      </c>
      <c r="N1418" t="inlineStr">
        <is>
          <t>alt</t>
        </is>
      </c>
      <c r="O1418" t="n">
        <v>95</v>
      </c>
      <c r="P1418" t="n">
        <v>0.02014</v>
      </c>
      <c r="Q1418" t="n">
        <v>85</v>
      </c>
      <c r="R1418" t="n">
        <v>0.0851</v>
      </c>
      <c r="S1418">
        <f>IMAGE("https://mitra.stanford.edu/kundaje/oak/projects/neuro-variants/variant_position/credible/roussos_2024/variant_figures/roussos_2024.adolescence.Astrocyte/rs76655943_count_position.png",4,220,900)</f>
        <v/>
      </c>
      <c r="T1418">
        <f>IMAGE("https://mitra.stanford.edu/kundaje/oak/projects/neuro-variants/variant_position/credible/roussos_2024/variant_figures/roussos_2024.adolescence.Astrocyte/rs76655943_profile_position.png",4,220,900)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0.01339787496</v>
      </c>
      <c r="G1419" t="n">
        <v>0.6593494565526121</v>
      </c>
      <c r="H1419" t="n">
        <v>0.0338537274100547</v>
      </c>
      <c r="I1419" t="n">
        <v>0.0192249666998049</v>
      </c>
      <c r="J1419" t="n">
        <v>0.3759235082930303</v>
      </c>
      <c r="K1419" t="n">
        <v>0.09756028642578039</v>
      </c>
      <c r="L1419" t="b">
        <v>1</v>
      </c>
      <c r="M1419" t="b">
        <v>0</v>
      </c>
      <c r="N1419" t="inlineStr">
        <is>
          <t>alt</t>
        </is>
      </c>
      <c r="O1419" t="n">
        <v>-100</v>
      </c>
      <c r="P1419" t="n">
        <v>0.0119</v>
      </c>
      <c r="Q1419" t="n">
        <v>45</v>
      </c>
      <c r="R1419" t="n">
        <v>0.09375</v>
      </c>
      <c r="S1419">
        <f>IMAGE("https://mitra.stanford.edu/kundaje/oak/projects/neuro-variants/variant_position/credible/roussos_2024/variant_figures/roussos_2024.adolescence.Astrocyte/rs28610230_count_position.png",4,220,900)</f>
        <v/>
      </c>
      <c r="T1419">
        <f>IMAGE("https://mitra.stanford.edu/kundaje/oak/projects/neuro-variants/variant_position/credible/roussos_2024/variant_figures/roussos_2024.adolescence.Astrocyte/rs28610230_profile_position.png",4,220,900)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0.05469906</v>
      </c>
      <c r="G1420" t="n">
        <v>0.2057312954442542</v>
      </c>
      <c r="H1420" t="n">
        <v>0.0190828329997164</v>
      </c>
      <c r="I1420" t="n">
        <v>0.15963453430339</v>
      </c>
      <c r="J1420" t="n">
        <v>0.05903554579711</v>
      </c>
      <c r="K1420" t="n">
        <v>0.4252078656704466</v>
      </c>
      <c r="L1420" t="b">
        <v>0</v>
      </c>
      <c r="M1420" t="b">
        <v>0</v>
      </c>
      <c r="N1420" t="inlineStr">
        <is>
          <t>alt</t>
        </is>
      </c>
      <c r="O1420" t="n">
        <v>-25</v>
      </c>
      <c r="P1420" t="n">
        <v>0.001404</v>
      </c>
      <c r="Q1420" t="n">
        <v>-20</v>
      </c>
      <c r="R1420" t="n">
        <v>0.0279</v>
      </c>
      <c r="S1420">
        <f>IMAGE("https://mitra.stanford.edu/kundaje/oak/projects/neuro-variants/variant_position/credible/roussos_2024/variant_figures/roussos_2024.adolescence.Astrocyte/rs55761603_count_position.png",4,220,900)</f>
        <v/>
      </c>
      <c r="T1420">
        <f>IMAGE("https://mitra.stanford.edu/kundaje/oak/projects/neuro-variants/variant_position/credible/roussos_2024/variant_figures/roussos_2024.adolescence.Astrocyte/rs55761603_profile_position.png",4,220,900)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0.021080846</v>
      </c>
      <c r="G1421" t="n">
        <v>0.5304471494055224</v>
      </c>
      <c r="H1421" t="n">
        <v>0.0137024846198892</v>
      </c>
      <c r="I1421" t="n">
        <v>0.4092741605963576</v>
      </c>
      <c r="J1421" t="n">
        <v>0.5094665163338574</v>
      </c>
      <c r="K1421" t="n">
        <v>0.0533680223420611</v>
      </c>
      <c r="L1421" t="b">
        <v>0</v>
      </c>
      <c r="M1421" t="b">
        <v>0</v>
      </c>
      <c r="N1421" t="inlineStr">
        <is>
          <t>alt</t>
        </is>
      </c>
      <c r="O1421" t="n">
        <v>100</v>
      </c>
      <c r="P1421" t="n">
        <v>0.0493</v>
      </c>
      <c r="Q1421" t="n">
        <v>100</v>
      </c>
      <c r="R1421" t="n">
        <v>0.614</v>
      </c>
      <c r="S1421">
        <f>IMAGE("https://mitra.stanford.edu/kundaje/oak/projects/neuro-variants/variant_position/credible/roussos_2024/variant_figures/roussos_2024.adolescence.Astrocyte/rs9926924_count_position.png",4,220,900)</f>
        <v/>
      </c>
      <c r="T1421">
        <f>IMAGE("https://mitra.stanford.edu/kundaje/oak/projects/neuro-variants/variant_position/credible/roussos_2024/variant_figures/roussos_2024.adolescence.Astrocyte/rs9926924_profile_position.png",4,220,900)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0.0499501302</v>
      </c>
      <c r="G1422" t="n">
        <v>0.1399052101333639</v>
      </c>
      <c r="H1422" t="n">
        <v>0.0190320516988558</v>
      </c>
      <c r="I1422" t="n">
        <v>0.1592880131346422</v>
      </c>
      <c r="J1422" t="n">
        <v>0.224676586654007</v>
      </c>
      <c r="K1422" t="n">
        <v>0.1846042401443924</v>
      </c>
      <c r="L1422" t="b">
        <v>0</v>
      </c>
      <c r="M1422" t="b">
        <v>0</v>
      </c>
      <c r="N1422" t="inlineStr">
        <is>
          <t>alt</t>
        </is>
      </c>
      <c r="O1422" t="n">
        <v>-30</v>
      </c>
      <c r="P1422" t="n">
        <v>0.001358</v>
      </c>
      <c r="Q1422" t="n">
        <v>60</v>
      </c>
      <c r="R1422" t="n">
        <v>0.02979</v>
      </c>
      <c r="S1422">
        <f>IMAGE("https://mitra.stanford.edu/kundaje/oak/projects/neuro-variants/variant_position/credible/roussos_2024/variant_figures/roussos_2024.adolescence.Astrocyte/rs2283541_count_position.png",4,220,900)</f>
        <v/>
      </c>
      <c r="T1422">
        <f>IMAGE("https://mitra.stanford.edu/kundaje/oak/projects/neuro-variants/variant_position/credible/roussos_2024/variant_figures/roussos_2024.adolescence.Astrocyte/rs2283541_profile_position.png",4,220,900)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-0.0268561207</v>
      </c>
      <c r="G1423" t="n">
        <v>0.4544640657282039</v>
      </c>
      <c r="H1423" t="n">
        <v>0.0468996537060781</v>
      </c>
      <c r="I1423" t="n">
        <v>0.0051462890093858</v>
      </c>
      <c r="J1423" t="n">
        <v>0.005754680592232</v>
      </c>
      <c r="K1423" t="n">
        <v>0.7439143015294751</v>
      </c>
      <c r="L1423" t="b">
        <v>0</v>
      </c>
      <c r="M1423" t="b">
        <v>0</v>
      </c>
      <c r="N1423" t="inlineStr">
        <is>
          <t>ref</t>
        </is>
      </c>
      <c r="O1423" t="n">
        <v>80</v>
      </c>
      <c r="P1423" t="n">
        <v>0.008670000000000001</v>
      </c>
      <c r="Q1423" t="n">
        <v>-35</v>
      </c>
      <c r="R1423" t="n">
        <v>0.0331</v>
      </c>
      <c r="S1423">
        <f>IMAGE("https://mitra.stanford.edu/kundaje/oak/projects/neuro-variants/variant_position/credible/roussos_2024/variant_figures/roussos_2024.adolescence.Astrocyte/rs11640574_count_position.png",4,220,900)</f>
        <v/>
      </c>
      <c r="T1423">
        <f>IMAGE("https://mitra.stanford.edu/kundaje/oak/projects/neuro-variants/variant_position/credible/roussos_2024/variant_figures/roussos_2024.adolescence.Astrocyte/rs11640574_profile_position.png",4,220,900)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-0.0511739338</v>
      </c>
      <c r="G1424" t="n">
        <v>0.2408388316366661</v>
      </c>
      <c r="H1424" t="n">
        <v>0.0130168552699128</v>
      </c>
      <c r="I1424" t="n">
        <v>0.4570981724750911</v>
      </c>
      <c r="J1424" t="n">
        <v>0.0193209803281606</v>
      </c>
      <c r="K1424" t="n">
        <v>0.6037782665561122</v>
      </c>
      <c r="L1424" t="b">
        <v>0</v>
      </c>
      <c r="M1424" t="b">
        <v>0</v>
      </c>
      <c r="N1424" t="inlineStr">
        <is>
          <t>ref</t>
        </is>
      </c>
      <c r="O1424" t="n">
        <v>100</v>
      </c>
      <c r="P1424" t="n">
        <v>0.009769999999999999</v>
      </c>
      <c r="Q1424" t="n">
        <v>-15</v>
      </c>
      <c r="R1424" t="n">
        <v>0.10034</v>
      </c>
      <c r="S1424">
        <f>IMAGE("https://mitra.stanford.edu/kundaje/oak/projects/neuro-variants/variant_position/credible/roussos_2024/variant_figures/roussos_2024.adolescence.Astrocyte/rs4788197_count_position.png",4,220,900)</f>
        <v/>
      </c>
      <c r="T1424">
        <f>IMAGE("https://mitra.stanford.edu/kundaje/oak/projects/neuro-variants/variant_position/credible/roussos_2024/variant_figures/roussos_2024.adolescence.Astrocyte/rs4788197_profile_position.png",4,220,900)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0.00661515352</v>
      </c>
      <c r="G1425" t="n">
        <v>0.5335828793258182</v>
      </c>
      <c r="H1425" t="n">
        <v>0.0163795227232209</v>
      </c>
      <c r="I1425" t="n">
        <v>0.2558654673980353</v>
      </c>
      <c r="J1425" t="n">
        <v>0.01944559831469</v>
      </c>
      <c r="K1425" t="n">
        <v>0.5984066451744177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0.02847</v>
      </c>
      <c r="Q1425" t="n">
        <v>-15</v>
      </c>
      <c r="R1425" t="n">
        <v>0.0443</v>
      </c>
      <c r="S1425">
        <f>IMAGE("https://mitra.stanford.edu/kundaje/oak/projects/neuro-variants/variant_position/credible/roussos_2024/variant_figures/roussos_2024.adolescence.Astrocyte/rs4788200_count_position.png",4,220,900)</f>
        <v/>
      </c>
      <c r="T1425">
        <f>IMAGE("https://mitra.stanford.edu/kundaje/oak/projects/neuro-variants/variant_position/credible/roussos_2024/variant_figures/roussos_2024.adolescence.Astrocyte/rs4788200_profile_position.png",4,220,900)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0.0107364228999999</v>
      </c>
      <c r="G1426" t="n">
        <v>0.6869235915734866</v>
      </c>
      <c r="H1426" t="n">
        <v>0.0263863464360157</v>
      </c>
      <c r="I1426" t="n">
        <v>0.0523243952449186</v>
      </c>
      <c r="J1426" t="n">
        <v>0.0702615494169658</v>
      </c>
      <c r="K1426" t="n">
        <v>0.3906074652326248</v>
      </c>
      <c r="L1426" t="b">
        <v>0</v>
      </c>
      <c r="M1426" t="b">
        <v>0</v>
      </c>
      <c r="N1426" t="inlineStr">
        <is>
          <t>alt</t>
        </is>
      </c>
      <c r="O1426" t="n">
        <v>-60</v>
      </c>
      <c r="P1426" t="n">
        <v>0.01099</v>
      </c>
      <c r="Q1426" t="n">
        <v>90</v>
      </c>
      <c r="R1426" t="n">
        <v>0.301</v>
      </c>
      <c r="S1426">
        <f>IMAGE("https://mitra.stanford.edu/kundaje/oak/projects/neuro-variants/variant_position/credible/roussos_2024/variant_figures/roussos_2024.adolescence.Astrocyte/rs12934406_count_position.png",4,220,900)</f>
        <v/>
      </c>
      <c r="T1426">
        <f>IMAGE("https://mitra.stanford.edu/kundaje/oak/projects/neuro-variants/variant_position/credible/roussos_2024/variant_figures/roussos_2024.adolescence.Astrocyte/rs12934406_profile_position.png",4,220,900)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-0.0070089584599999</v>
      </c>
      <c r="G1427" t="n">
        <v>0.7233207688561605</v>
      </c>
      <c r="H1427" t="n">
        <v>0.0312683253001983</v>
      </c>
      <c r="I1427" t="n">
        <v>0.0267418705336142</v>
      </c>
      <c r="J1427" t="n">
        <v>0.10742441325698</v>
      </c>
      <c r="K1427" t="n">
        <v>0.313945756408253</v>
      </c>
      <c r="L1427" t="b">
        <v>0</v>
      </c>
      <c r="M1427" t="b">
        <v>0</v>
      </c>
      <c r="N1427" t="inlineStr">
        <is>
          <t>ref</t>
        </is>
      </c>
      <c r="O1427" t="n">
        <v>0</v>
      </c>
      <c r="P1427" t="n">
        <v>0</v>
      </c>
      <c r="Q1427" t="n">
        <v>-75</v>
      </c>
      <c r="R1427" t="n">
        <v>0.1707</v>
      </c>
      <c r="S1427">
        <f>IMAGE("https://mitra.stanford.edu/kundaje/oak/projects/neuro-variants/variant_position/credible/roussos_2024/variant_figures/roussos_2024.adolescence.Astrocyte/rs9932196_count_position.png",4,220,900)</f>
        <v/>
      </c>
      <c r="T1427">
        <f>IMAGE("https://mitra.stanford.edu/kundaje/oak/projects/neuro-variants/variant_position/credible/roussos_2024/variant_figures/roussos_2024.adolescence.Astrocyte/rs9932196_profile_position.png",4,220,900)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-0.09690779839999999</v>
      </c>
      <c r="G1428" t="n">
        <v>0.0945586150346686</v>
      </c>
      <c r="H1428" t="n">
        <v>0.0158941736980297</v>
      </c>
      <c r="I1428" t="n">
        <v>0.277538227062202</v>
      </c>
      <c r="J1428" t="n">
        <v>0.0427068806931133</v>
      </c>
      <c r="K1428" t="n">
        <v>0.4695105931719255</v>
      </c>
      <c r="L1428" t="b">
        <v>0</v>
      </c>
      <c r="M1428" t="b">
        <v>0</v>
      </c>
      <c r="N1428" t="inlineStr">
        <is>
          <t>ref</t>
        </is>
      </c>
      <c r="O1428" t="n">
        <v>-100</v>
      </c>
      <c r="P1428" t="n">
        <v>0.002953</v>
      </c>
      <c r="Q1428" t="n">
        <v>0</v>
      </c>
      <c r="R1428" t="n">
        <v>0</v>
      </c>
      <c r="S1428">
        <f>IMAGE("https://mitra.stanford.edu/kundaje/oak/projects/neuro-variants/variant_position/credible/roussos_2024/variant_figures/roussos_2024.adolescence.Astrocyte/rs11642046_count_position.png",4,220,900)</f>
        <v/>
      </c>
      <c r="T1428">
        <f>IMAGE("https://mitra.stanford.edu/kundaje/oak/projects/neuro-variants/variant_position/credible/roussos_2024/variant_figures/roussos_2024.adolescence.Astrocyte/rs11642046_profile_position.png",4,220,900)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-0.0385720968</v>
      </c>
      <c r="G1429" t="n">
        <v>0.3170732572107062</v>
      </c>
      <c r="H1429" t="n">
        <v>0.0111578293059976</v>
      </c>
      <c r="I1429" t="n">
        <v>0.6142564448069192</v>
      </c>
      <c r="J1429" t="n">
        <v>0.3689382250838204</v>
      </c>
      <c r="K1429" t="n">
        <v>0.0995819245519072</v>
      </c>
      <c r="L1429" t="b">
        <v>0</v>
      </c>
      <c r="M1429" t="b">
        <v>0</v>
      </c>
      <c r="N1429" t="inlineStr">
        <is>
          <t>ref</t>
        </is>
      </c>
      <c r="O1429" t="n">
        <v>85</v>
      </c>
      <c r="P1429" t="n">
        <v>0.003572</v>
      </c>
      <c r="Q1429" t="n">
        <v>90</v>
      </c>
      <c r="R1429" t="n">
        <v>0.2344</v>
      </c>
      <c r="S1429">
        <f>IMAGE("https://mitra.stanford.edu/kundaje/oak/projects/neuro-variants/variant_position/credible/roussos_2024/variant_figures/roussos_2024.adolescence.Astrocyte/rs3814884_count_position.png",4,220,900)</f>
        <v/>
      </c>
      <c r="T1429">
        <f>IMAGE("https://mitra.stanford.edu/kundaje/oak/projects/neuro-variants/variant_position/credible/roussos_2024/variant_figures/roussos_2024.adolescence.Astrocyte/rs3814884_profile_position.png",4,220,900)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-0.147902017</v>
      </c>
      <c r="G1430" t="n">
        <v>0.0361018762674485</v>
      </c>
      <c r="H1430" t="n">
        <v>0.0245584415283649</v>
      </c>
      <c r="I1430" t="n">
        <v>0.068871298192764</v>
      </c>
      <c r="J1430" t="n">
        <v>0.3603722220573836</v>
      </c>
      <c r="K1430" t="n">
        <v>0.1035752560922246</v>
      </c>
      <c r="L1430" t="b">
        <v>0</v>
      </c>
      <c r="M1430" t="b">
        <v>0</v>
      </c>
      <c r="N1430" t="inlineStr">
        <is>
          <t>ref</t>
        </is>
      </c>
      <c r="O1430" t="n">
        <v>-5</v>
      </c>
      <c r="P1430" t="n">
        <v>0.001103</v>
      </c>
      <c r="Q1430" t="n">
        <v>80</v>
      </c>
      <c r="R1430" t="n">
        <v>0.05017</v>
      </c>
      <c r="S1430">
        <f>IMAGE("https://mitra.stanford.edu/kundaje/oak/projects/neuro-variants/variant_position/credible/roussos_2024/variant_figures/roussos_2024.adolescence.Astrocyte/rs3814883_count_position.png",4,220,900)</f>
        <v/>
      </c>
      <c r="T1430">
        <f>IMAGE("https://mitra.stanford.edu/kundaje/oak/projects/neuro-variants/variant_position/credible/roussos_2024/variant_figures/roussos_2024.adolescence.Astrocyte/rs3814883_profile_position.png",4,220,900)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0.0021461492</v>
      </c>
      <c r="G1431" t="n">
        <v>0.1809878076284927</v>
      </c>
      <c r="H1431" t="n">
        <v>0.0155773036167709</v>
      </c>
      <c r="I1431" t="n">
        <v>0.2885765379574199</v>
      </c>
      <c r="J1431" t="n">
        <v>0.1364997181259828</v>
      </c>
      <c r="K1431" t="n">
        <v>0.2732023023968579</v>
      </c>
      <c r="L1431" t="b">
        <v>0</v>
      </c>
      <c r="M1431" t="b">
        <v>0</v>
      </c>
      <c r="N1431" t="inlineStr">
        <is>
          <t>alt</t>
        </is>
      </c>
      <c r="O1431" t="n">
        <v>-100</v>
      </c>
      <c r="P1431" t="n">
        <v>0.0156</v>
      </c>
      <c r="Q1431" t="n">
        <v>-70</v>
      </c>
      <c r="R1431" t="n">
        <v>0.1671</v>
      </c>
      <c r="S1431">
        <f>IMAGE("https://mitra.stanford.edu/kundaje/oak/projects/neuro-variants/variant_position/credible/roussos_2024/variant_figures/roussos_2024.adolescence.Astrocyte/rs4787489_count_position.png",4,220,900)</f>
        <v/>
      </c>
      <c r="T1431">
        <f>IMAGE("https://mitra.stanford.edu/kundaje/oak/projects/neuro-variants/variant_position/credible/roussos_2024/variant_figures/roussos_2024.adolescence.Astrocyte/rs4787489_profile_position.png",4,220,900)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0.1315347088</v>
      </c>
      <c r="G1432" t="n">
        <v>0.0484006019330952</v>
      </c>
      <c r="H1432" t="n">
        <v>0.0250666755270278</v>
      </c>
      <c r="I1432" t="n">
        <v>0.0683515956100733</v>
      </c>
      <c r="J1432" t="n">
        <v>0.6003256386671809</v>
      </c>
      <c r="K1432" t="n">
        <v>0.033893480037577</v>
      </c>
      <c r="L1432" t="b">
        <v>0</v>
      </c>
      <c r="M1432" t="b">
        <v>0</v>
      </c>
      <c r="N1432" t="inlineStr">
        <is>
          <t>alt</t>
        </is>
      </c>
      <c r="O1432" t="n">
        <v>40</v>
      </c>
      <c r="P1432" t="n">
        <v>0.00516</v>
      </c>
      <c r="Q1432" t="n">
        <v>100</v>
      </c>
      <c r="R1432" t="n">
        <v>0.09594999999999999</v>
      </c>
      <c r="S1432">
        <f>IMAGE("https://mitra.stanford.edu/kundaje/oak/projects/neuro-variants/variant_position/credible/roussos_2024/variant_figures/roussos_2024.adolescence.Astrocyte/rs9924686_count_position.png",4,220,900)</f>
        <v/>
      </c>
      <c r="T1432">
        <f>IMAGE("https://mitra.stanford.edu/kundaje/oak/projects/neuro-variants/variant_position/credible/roussos_2024/variant_figures/roussos_2024.adolescence.Astrocyte/rs9924686_profile_position.png",4,220,900)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-0.04956823348</v>
      </c>
      <c r="G1433" t="n">
        <v>0.2950694257700793</v>
      </c>
      <c r="H1433" t="n">
        <v>0.0127028270453023</v>
      </c>
      <c r="I1433" t="n">
        <v>0.4814340143164478</v>
      </c>
      <c r="J1433" t="n">
        <v>0.5934108239622586</v>
      </c>
      <c r="K1433" t="n">
        <v>0.0354103295888318</v>
      </c>
      <c r="L1433" t="b">
        <v>0</v>
      </c>
      <c r="M1433" t="b">
        <v>0</v>
      </c>
      <c r="N1433" t="inlineStr">
        <is>
          <t>ref</t>
        </is>
      </c>
      <c r="O1433" t="n">
        <v>15</v>
      </c>
      <c r="P1433" t="n">
        <v>0.001137</v>
      </c>
      <c r="Q1433" t="n">
        <v>-55</v>
      </c>
      <c r="R1433" t="n">
        <v>0.06714000000000001</v>
      </c>
      <c r="S1433">
        <f>IMAGE("https://mitra.stanford.edu/kundaje/oak/projects/neuro-variants/variant_position/credible/roussos_2024/variant_figures/roussos_2024.adolescence.Astrocyte/rs72777107_count_position.png",4,220,900)</f>
        <v/>
      </c>
      <c r="T1433">
        <f>IMAGE("https://mitra.stanford.edu/kundaje/oak/projects/neuro-variants/variant_position/credible/roussos_2024/variant_figures/roussos_2024.adolescence.Astrocyte/rs72777107_profile_position.png",4,220,900)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-0.0627498604</v>
      </c>
      <c r="G1434" t="n">
        <v>0.1812125050629132</v>
      </c>
      <c r="H1434" t="n">
        <v>0.009158483507961701</v>
      </c>
      <c r="I1434" t="n">
        <v>0.8195125007180883</v>
      </c>
      <c r="J1434" t="n">
        <v>0.09750689849568279</v>
      </c>
      <c r="K1434" t="n">
        <v>0.3254359262772898</v>
      </c>
      <c r="L1434" t="b">
        <v>0</v>
      </c>
      <c r="M1434" t="b">
        <v>0</v>
      </c>
      <c r="N1434" t="inlineStr">
        <is>
          <t>ref</t>
        </is>
      </c>
      <c r="O1434" t="n">
        <v>-50</v>
      </c>
      <c r="P1434" t="n">
        <v>0.002914</v>
      </c>
      <c r="Q1434" t="n">
        <v>-20</v>
      </c>
      <c r="R1434" t="n">
        <v>0.04346</v>
      </c>
      <c r="S1434">
        <f>IMAGE("https://mitra.stanford.edu/kundaje/oak/projects/neuro-variants/variant_position/credible/roussos_2024/variant_figures/roussos_2024.adolescence.Astrocyte/rs9928398_count_position.png",4,220,900)</f>
        <v/>
      </c>
      <c r="T1434">
        <f>IMAGE("https://mitra.stanford.edu/kundaje/oak/projects/neuro-variants/variant_position/credible/roussos_2024/variant_figures/roussos_2024.adolescence.Astrocyte/rs9928398_profile_position.png",4,220,900)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0.0247362888</v>
      </c>
      <c r="G1435" t="n">
        <v>0.468762871782678</v>
      </c>
      <c r="H1435" t="n">
        <v>0.0135202643315285</v>
      </c>
      <c r="I1435" t="n">
        <v>0.4227363462724502</v>
      </c>
      <c r="J1435" t="n">
        <v>0.08901878171082681</v>
      </c>
      <c r="K1435" t="n">
        <v>0.3422160057186503</v>
      </c>
      <c r="L1435" t="b">
        <v>0</v>
      </c>
      <c r="M1435" t="b">
        <v>0</v>
      </c>
      <c r="N1435" t="inlineStr">
        <is>
          <t>alt</t>
        </is>
      </c>
      <c r="O1435" t="n">
        <v>90</v>
      </c>
      <c r="P1435" t="n">
        <v>0.05838</v>
      </c>
      <c r="Q1435" t="n">
        <v>45</v>
      </c>
      <c r="R1435" t="n">
        <v>0.134</v>
      </c>
      <c r="S1435">
        <f>IMAGE("https://mitra.stanford.edu/kundaje/oak/projects/neuro-variants/variant_position/credible/roussos_2024/variant_figures/roussos_2024.adolescence.Astrocyte/rs8056038_count_position.png",4,220,900)</f>
        <v/>
      </c>
      <c r="T1435">
        <f>IMAGE("https://mitra.stanford.edu/kundaje/oak/projects/neuro-variants/variant_position/credible/roussos_2024/variant_figures/roussos_2024.adolescence.Astrocyte/rs8056038_profile_position.png",4,220,900)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0.0008904100399999</v>
      </c>
      <c r="G1436" t="n">
        <v>0.7726985003055246</v>
      </c>
      <c r="H1436" t="n">
        <v>0.0129462029800307</v>
      </c>
      <c r="I1436" t="n">
        <v>0.4683808300273852</v>
      </c>
      <c r="J1436" t="n">
        <v>0.085564341453283</v>
      </c>
      <c r="K1436" t="n">
        <v>0.3486648748584321</v>
      </c>
      <c r="L1436" t="b">
        <v>0</v>
      </c>
      <c r="M1436" t="b">
        <v>0</v>
      </c>
      <c r="N1436" t="inlineStr">
        <is>
          <t>alt</t>
        </is>
      </c>
      <c r="O1436" t="n">
        <v>90</v>
      </c>
      <c r="P1436" t="n">
        <v>0.05722</v>
      </c>
      <c r="Q1436" t="n">
        <v>40</v>
      </c>
      <c r="R1436" t="n">
        <v>0.1155</v>
      </c>
      <c r="S1436">
        <f>IMAGE("https://mitra.stanford.edu/kundaje/oak/projects/neuro-variants/variant_position/credible/roussos_2024/variant_figures/roussos_2024.adolescence.Astrocyte/rs8056039_count_position.png",4,220,900)</f>
        <v/>
      </c>
      <c r="T1436">
        <f>IMAGE("https://mitra.stanford.edu/kundaje/oak/projects/neuro-variants/variant_position/credible/roussos_2024/variant_figures/roussos_2024.adolescence.Astrocyte/rs8056039_profile_position.png",4,220,900)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0.0525778424</v>
      </c>
      <c r="G1437" t="n">
        <v>0.2257712429393353</v>
      </c>
      <c r="H1437" t="n">
        <v>0.010165719091661</v>
      </c>
      <c r="I1437" t="n">
        <v>0.7356606913586213</v>
      </c>
      <c r="J1437" t="n">
        <v>0.0297851823279826</v>
      </c>
      <c r="K1437" t="n">
        <v>0.5173976314567055</v>
      </c>
      <c r="L1437" t="b">
        <v>0</v>
      </c>
      <c r="M1437" t="b">
        <v>0</v>
      </c>
      <c r="N1437" t="inlineStr">
        <is>
          <t>alt</t>
        </is>
      </c>
      <c r="O1437" t="n">
        <v>-60</v>
      </c>
      <c r="P1437" t="n">
        <v>0.01338</v>
      </c>
      <c r="Q1437" t="n">
        <v>-100</v>
      </c>
      <c r="R1437" t="n">
        <v>0.1168</v>
      </c>
      <c r="S1437">
        <f>IMAGE("https://mitra.stanford.edu/kundaje/oak/projects/neuro-variants/variant_position/credible/roussos_2024/variant_figures/roussos_2024.adolescence.Astrocyte/rs37035_count_position.png",4,220,900)</f>
        <v/>
      </c>
      <c r="T1437">
        <f>IMAGE("https://mitra.stanford.edu/kundaje/oak/projects/neuro-variants/variant_position/credible/roussos_2024/variant_figures/roussos_2024.adolescence.Astrocyte/rs37035_profile_position.png",4,220,900)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-0.0324128896</v>
      </c>
      <c r="G1438" t="n">
        <v>0.3832199399525373</v>
      </c>
      <c r="H1438" t="n">
        <v>0.0124881089458715</v>
      </c>
      <c r="I1438" t="n">
        <v>0.5151150786966829</v>
      </c>
      <c r="J1438" t="n">
        <v>0.1037993650416876</v>
      </c>
      <c r="K1438" t="n">
        <v>0.3144819791313329</v>
      </c>
      <c r="L1438" t="b">
        <v>0</v>
      </c>
      <c r="M1438" t="b">
        <v>0</v>
      </c>
      <c r="N1438" t="inlineStr">
        <is>
          <t>ref</t>
        </is>
      </c>
      <c r="O1438" t="n">
        <v>-55</v>
      </c>
      <c r="P1438" t="n">
        <v>0.08416999999999999</v>
      </c>
      <c r="Q1438" t="n">
        <v>100</v>
      </c>
      <c r="R1438" t="n">
        <v>0.1296</v>
      </c>
      <c r="S1438">
        <f>IMAGE("https://mitra.stanford.edu/kundaje/oak/projects/neuro-variants/variant_position/credible/roussos_2024/variant_figures/roussos_2024.adolescence.Astrocyte/rs37059_count_position.png",4,220,900)</f>
        <v/>
      </c>
      <c r="T1438">
        <f>IMAGE("https://mitra.stanford.edu/kundaje/oak/projects/neuro-variants/variant_position/credible/roussos_2024/variant_figures/roussos_2024.adolescence.Astrocyte/rs37059_profile_position.png",4,220,900)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0.0413104562</v>
      </c>
      <c r="G1439" t="n">
        <v>0.2856925209054233</v>
      </c>
      <c r="H1439" t="n">
        <v>0.0141835961306795</v>
      </c>
      <c r="I1439" t="n">
        <v>0.3777262792386338</v>
      </c>
      <c r="J1439" t="n">
        <v>0.0158057146248108</v>
      </c>
      <c r="K1439" t="n">
        <v>0.6131593420350592</v>
      </c>
      <c r="L1439" t="b">
        <v>0</v>
      </c>
      <c r="M1439" t="b">
        <v>0</v>
      </c>
      <c r="N1439" t="inlineStr">
        <is>
          <t>alt</t>
        </is>
      </c>
      <c r="O1439" t="n">
        <v>-95</v>
      </c>
      <c r="P1439" t="n">
        <v>0.0445</v>
      </c>
      <c r="Q1439" t="n">
        <v>95</v>
      </c>
      <c r="R1439" t="n">
        <v>0.1846</v>
      </c>
      <c r="S1439">
        <f>IMAGE("https://mitra.stanford.edu/kundaje/oak/projects/neuro-variants/variant_position/credible/roussos_2024/variant_figures/roussos_2024.adolescence.Astrocyte/rs7201946_count_position.png",4,220,900)</f>
        <v/>
      </c>
      <c r="T1439">
        <f>IMAGE("https://mitra.stanford.edu/kundaje/oak/projects/neuro-variants/variant_position/credible/roussos_2024/variant_figures/roussos_2024.adolescence.Astrocyte/rs7201946_profile_position.png",4,220,900)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0.0039460769559999</v>
      </c>
      <c r="G1440" t="n">
        <v>0.7961027425876013</v>
      </c>
      <c r="H1440" t="n">
        <v>0.008496167397661</v>
      </c>
      <c r="I1440" t="n">
        <v>0.9007153551558224</v>
      </c>
      <c r="J1440" t="n">
        <v>0.0025583775924991</v>
      </c>
      <c r="K1440" t="n">
        <v>0.8052256667163179</v>
      </c>
      <c r="L1440" t="b">
        <v>0</v>
      </c>
      <c r="M1440" t="b">
        <v>0</v>
      </c>
      <c r="N1440" t="inlineStr">
        <is>
          <t>alt</t>
        </is>
      </c>
      <c r="O1440" t="n">
        <v>-85</v>
      </c>
      <c r="P1440" t="n">
        <v>0.01402</v>
      </c>
      <c r="Q1440" t="n">
        <v>-100</v>
      </c>
      <c r="R1440" t="n">
        <v>0.1216</v>
      </c>
      <c r="S1440">
        <f>IMAGE("https://mitra.stanford.edu/kundaje/oak/projects/neuro-variants/variant_position/credible/roussos_2024/variant_figures/roussos_2024.adolescence.Astrocyte/rs7206744_count_position.png",4,220,900)</f>
        <v/>
      </c>
      <c r="T1440">
        <f>IMAGE("https://mitra.stanford.edu/kundaje/oak/projects/neuro-variants/variant_position/credible/roussos_2024/variant_figures/roussos_2024.adolescence.Astrocyte/rs7206744_profile_position.png",4,220,900)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-0.0140767677999999</v>
      </c>
      <c r="G1441" t="n">
        <v>0.6275524742285888</v>
      </c>
      <c r="H1441" t="n">
        <v>0.0200574362471438</v>
      </c>
      <c r="I1441" t="n">
        <v>0.1357113616980965</v>
      </c>
      <c r="J1441" t="n">
        <v>0.0019953713319288</v>
      </c>
      <c r="K1441" t="n">
        <v>0.8176078970082385</v>
      </c>
      <c r="L1441" t="b">
        <v>0</v>
      </c>
      <c r="M1441" t="b">
        <v>0</v>
      </c>
      <c r="N1441" t="inlineStr">
        <is>
          <t>ref</t>
        </is>
      </c>
      <c r="O1441" t="n">
        <v>-100</v>
      </c>
      <c r="P1441" t="n">
        <v>0.02385</v>
      </c>
      <c r="Q1441" t="n">
        <v>-40</v>
      </c>
      <c r="R1441" t="n">
        <v>0.09235</v>
      </c>
      <c r="S1441">
        <f>IMAGE("https://mitra.stanford.edu/kundaje/oak/projects/neuro-variants/variant_position/credible/roussos_2024/variant_figures/roussos_2024.adolescence.Astrocyte/rs9936144_count_position.png",4,220,900)</f>
        <v/>
      </c>
      <c r="T1441">
        <f>IMAGE("https://mitra.stanford.edu/kundaje/oak/projects/neuro-variants/variant_position/credible/roussos_2024/variant_figures/roussos_2024.adolescence.Astrocyte/rs9936144_profile_position.png",4,220,900)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-0.0041827208</v>
      </c>
      <c r="G1442" t="n">
        <v>0.7914489784893909</v>
      </c>
      <c r="H1442" t="n">
        <v>0.0366022082615663</v>
      </c>
      <c r="I1442" t="n">
        <v>0.0140760656529463</v>
      </c>
      <c r="J1442" t="n">
        <v>0.022072960864018</v>
      </c>
      <c r="K1442" t="n">
        <v>0.5707254908792972</v>
      </c>
      <c r="L1442" t="b">
        <v>1</v>
      </c>
      <c r="M1442" t="b">
        <v>0</v>
      </c>
      <c r="N1442" t="inlineStr">
        <is>
          <t>ref</t>
        </is>
      </c>
      <c r="O1442" t="n">
        <v>-75</v>
      </c>
      <c r="P1442" t="n">
        <v>0.00873</v>
      </c>
      <c r="Q1442" t="n">
        <v>-55</v>
      </c>
      <c r="R1442" t="n">
        <v>0.1626</v>
      </c>
      <c r="S1442">
        <f>IMAGE("https://mitra.stanford.edu/kundaje/oak/projects/neuro-variants/variant_position/credible/roussos_2024/variant_figures/roussos_2024.adolescence.Astrocyte/rs116630925_count_position.png",4,220,900)</f>
        <v/>
      </c>
      <c r="T1442">
        <f>IMAGE("https://mitra.stanford.edu/kundaje/oak/projects/neuro-variants/variant_position/credible/roussos_2024/variant_figures/roussos_2024.adolescence.Astrocyte/rs116630925_profile_position.png",4,220,900)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0.0036928942799999</v>
      </c>
      <c r="G1443" t="n">
        <v>0.8164118652689977</v>
      </c>
      <c r="H1443" t="n">
        <v>0.0250020778535766</v>
      </c>
      <c r="I1443" t="n">
        <v>0.0629942084585015</v>
      </c>
      <c r="J1443" t="n">
        <v>0.0338908999198883</v>
      </c>
      <c r="K1443" t="n">
        <v>0.5100247635199047</v>
      </c>
      <c r="L1443" t="b">
        <v>0</v>
      </c>
      <c r="M1443" t="b">
        <v>0</v>
      </c>
      <c r="N1443" t="inlineStr">
        <is>
          <t>alt</t>
        </is>
      </c>
      <c r="O1443" t="n">
        <v>90</v>
      </c>
      <c r="P1443" t="n">
        <v>0.007217</v>
      </c>
      <c r="Q1443" t="n">
        <v>-50</v>
      </c>
      <c r="R1443" t="n">
        <v>0.03256</v>
      </c>
      <c r="S1443">
        <f>IMAGE("https://mitra.stanford.edu/kundaje/oak/projects/neuro-variants/variant_position/credible/roussos_2024/variant_figures/roussos_2024.adolescence.Astrocyte/rs12443835_count_position.png",4,220,900)</f>
        <v/>
      </c>
      <c r="T1443">
        <f>IMAGE("https://mitra.stanford.edu/kundaje/oak/projects/neuro-variants/variant_position/credible/roussos_2024/variant_figures/roussos_2024.adolescence.Astrocyte/rs12443835_profile_position.png",4,220,900)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-0.008395742879999901</v>
      </c>
      <c r="G1444" t="n">
        <v>0.7614990722958204</v>
      </c>
      <c r="H1444" t="n">
        <v>0.0134220106233039</v>
      </c>
      <c r="I1444" t="n">
        <v>0.4275886502126632</v>
      </c>
      <c r="J1444" t="n">
        <v>0.0267424264902233</v>
      </c>
      <c r="K1444" t="n">
        <v>0.5511662263341</v>
      </c>
      <c r="L1444" t="b">
        <v>0</v>
      </c>
      <c r="M1444" t="b">
        <v>0</v>
      </c>
      <c r="N1444" t="inlineStr">
        <is>
          <t>ref</t>
        </is>
      </c>
      <c r="O1444" t="n">
        <v>10</v>
      </c>
      <c r="P1444" t="n">
        <v>0.001219</v>
      </c>
      <c r="Q1444" t="n">
        <v>65</v>
      </c>
      <c r="R1444" t="n">
        <v>0.0822</v>
      </c>
      <c r="S1444">
        <f>IMAGE("https://mitra.stanford.edu/kundaje/oak/projects/neuro-variants/variant_position/credible/roussos_2024/variant_figures/roussos_2024.adolescence.Astrocyte/rs9925537_count_position.png",4,220,900)</f>
        <v/>
      </c>
      <c r="T1444">
        <f>IMAGE("https://mitra.stanford.edu/kundaje/oak/projects/neuro-variants/variant_position/credible/roussos_2024/variant_figures/roussos_2024.adolescence.Astrocyte/rs9925537_profile_position.png",4,220,900)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0.1361035166</v>
      </c>
      <c r="G1445" t="n">
        <v>0.0669620973832136</v>
      </c>
      <c r="H1445" t="n">
        <v>0.0400674249288581</v>
      </c>
      <c r="I1445" t="n">
        <v>0.0134395320877593</v>
      </c>
      <c r="J1445" t="n">
        <v>0.0324778209654926</v>
      </c>
      <c r="K1445" t="n">
        <v>0.5191741109130582</v>
      </c>
      <c r="L1445" t="b">
        <v>1</v>
      </c>
      <c r="M1445" t="b">
        <v>0</v>
      </c>
      <c r="N1445" t="inlineStr">
        <is>
          <t>alt</t>
        </is>
      </c>
      <c r="O1445" t="n">
        <v>-95</v>
      </c>
      <c r="P1445" t="n">
        <v>0.0415</v>
      </c>
      <c r="Q1445" t="n">
        <v>-95</v>
      </c>
      <c r="R1445" t="n">
        <v>0.0623</v>
      </c>
      <c r="S1445">
        <f>IMAGE("https://mitra.stanford.edu/kundaje/oak/projects/neuro-variants/variant_position/credible/roussos_2024/variant_figures/roussos_2024.adolescence.Astrocyte/rs154433_count_position.png",4,220,900)</f>
        <v/>
      </c>
      <c r="T1445">
        <f>IMAGE("https://mitra.stanford.edu/kundaje/oak/projects/neuro-variants/variant_position/credible/roussos_2024/variant_figures/roussos_2024.adolescence.Astrocyte/rs154433_profile_position.png",4,220,900)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0.129617415</v>
      </c>
      <c r="G1446" t="n">
        <v>0.0511311433282331</v>
      </c>
      <c r="H1446" t="n">
        <v>0.0189399754261749</v>
      </c>
      <c r="I1446" t="n">
        <v>0.1663735432282194</v>
      </c>
      <c r="J1446" t="n">
        <v>0.0001995371331928</v>
      </c>
      <c r="K1446" t="n">
        <v>0.9593678732833389</v>
      </c>
      <c r="L1446" t="b">
        <v>0</v>
      </c>
      <c r="M1446" t="b">
        <v>0</v>
      </c>
      <c r="N1446" t="inlineStr">
        <is>
          <t>alt</t>
        </is>
      </c>
      <c r="O1446" t="n">
        <v>40</v>
      </c>
      <c r="P1446" t="n">
        <v>0.003448</v>
      </c>
      <c r="Q1446" t="n">
        <v>20</v>
      </c>
      <c r="R1446" t="n">
        <v>0.03357</v>
      </c>
      <c r="S1446">
        <f>IMAGE("https://mitra.stanford.edu/kundaje/oak/projects/neuro-variants/variant_position/credible/roussos_2024/variant_figures/roussos_2024.adolescence.Astrocyte/rs7193419_count_position.png",4,220,900)</f>
        <v/>
      </c>
      <c r="T1446">
        <f>IMAGE("https://mitra.stanford.edu/kundaje/oak/projects/neuro-variants/variant_position/credible/roussos_2024/variant_figures/roussos_2024.adolescence.Astrocyte/rs7193419_profile_position.png",4,220,900)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0.017953654</v>
      </c>
      <c r="G1447" t="n">
        <v>0.5047204404221243</v>
      </c>
      <c r="H1447" t="n">
        <v>0.0152027926050918</v>
      </c>
      <c r="I1447" t="n">
        <v>0.3131526115634198</v>
      </c>
      <c r="J1447" t="n">
        <v>0.056616621665727</v>
      </c>
      <c r="K1447" t="n">
        <v>0.4343764084814034</v>
      </c>
      <c r="L1447" t="b">
        <v>0</v>
      </c>
      <c r="M1447" t="b">
        <v>0</v>
      </c>
      <c r="N1447" t="inlineStr">
        <is>
          <t>alt</t>
        </is>
      </c>
      <c r="O1447" t="n">
        <v>-100</v>
      </c>
      <c r="P1447" t="n">
        <v>0.00783</v>
      </c>
      <c r="Q1447" t="n">
        <v>-80</v>
      </c>
      <c r="R1447" t="n">
        <v>0.1781</v>
      </c>
      <c r="S1447">
        <f>IMAGE("https://mitra.stanford.edu/kundaje/oak/projects/neuro-variants/variant_position/credible/roussos_2024/variant_figures/roussos_2024.adolescence.Astrocyte/rs6498914_count_position.png",4,220,900)</f>
        <v/>
      </c>
      <c r="T1447">
        <f>IMAGE("https://mitra.stanford.edu/kundaje/oak/projects/neuro-variants/variant_position/credible/roussos_2024/variant_figures/roussos_2024.adolescence.Astrocyte/rs6498914_profile_position.png",4,220,900)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0.0336351814</v>
      </c>
      <c r="G1448" t="n">
        <v>0.357993801943251</v>
      </c>
      <c r="H1448" t="n">
        <v>0.0217315413361119</v>
      </c>
      <c r="I1448" t="n">
        <v>0.1042265962682594</v>
      </c>
      <c r="J1448" t="n">
        <v>0.0006965255318517</v>
      </c>
      <c r="K1448" t="n">
        <v>0.89744053066615</v>
      </c>
      <c r="L1448" t="b">
        <v>0</v>
      </c>
      <c r="M1448" t="b">
        <v>0</v>
      </c>
      <c r="N1448" t="inlineStr">
        <is>
          <t>alt</t>
        </is>
      </c>
      <c r="O1448" t="n">
        <v>95</v>
      </c>
      <c r="P1448" t="n">
        <v>0.014755</v>
      </c>
      <c r="Q1448" t="n">
        <v>-90</v>
      </c>
      <c r="R1448" t="n">
        <v>0.07580000000000001</v>
      </c>
      <c r="S1448">
        <f>IMAGE("https://mitra.stanford.edu/kundaje/oak/projects/neuro-variants/variant_position/credible/roussos_2024/variant_figures/roussos_2024.adolescence.Astrocyte/rs4353494_count_position.png",4,220,900)</f>
        <v/>
      </c>
      <c r="T1448">
        <f>IMAGE("https://mitra.stanford.edu/kundaje/oak/projects/neuro-variants/variant_position/credible/roussos_2024/variant_figures/roussos_2024.adolescence.Astrocyte/rs4353494_profile_position.png",4,220,900)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-0.0116167406</v>
      </c>
      <c r="G1449" t="n">
        <v>0.708984024011912</v>
      </c>
      <c r="H1449" t="n">
        <v>0.0078118626906454</v>
      </c>
      <c r="I1449" t="n">
        <v>0.9365671881161334</v>
      </c>
      <c r="J1449" t="n">
        <v>0.0032319081387412</v>
      </c>
      <c r="K1449" t="n">
        <v>0.7881238889770612</v>
      </c>
      <c r="L1449" t="b">
        <v>0</v>
      </c>
      <c r="M1449" t="b">
        <v>0</v>
      </c>
      <c r="N1449" t="inlineStr">
        <is>
          <t>ref</t>
        </is>
      </c>
      <c r="O1449" t="n">
        <v>-80</v>
      </c>
      <c r="P1449" t="n">
        <v>0.0542</v>
      </c>
      <c r="Q1449" t="n">
        <v>-30</v>
      </c>
      <c r="R1449" t="n">
        <v>0.0629</v>
      </c>
      <c r="S1449">
        <f>IMAGE("https://mitra.stanford.edu/kundaje/oak/projects/neuro-variants/variant_position/credible/roussos_2024/variant_figures/roussos_2024.adolescence.Astrocyte/rs10775297_count_position.png",4,220,900)</f>
        <v/>
      </c>
      <c r="T1449">
        <f>IMAGE("https://mitra.stanford.edu/kundaje/oak/projects/neuro-variants/variant_position/credible/roussos_2024/variant_figures/roussos_2024.adolescence.Astrocyte/rs10775297_profile_position.png",4,220,900)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0.00290996426</v>
      </c>
      <c r="G1450" t="n">
        <v>0.7147977350589854</v>
      </c>
      <c r="H1450" t="n">
        <v>0.0143900667114233</v>
      </c>
      <c r="I1450" t="n">
        <v>0.3613561364600163</v>
      </c>
      <c r="J1450" t="n">
        <v>0.0015265703349849</v>
      </c>
      <c r="K1450" t="n">
        <v>0.8556233001027236</v>
      </c>
      <c r="L1450" t="b">
        <v>0</v>
      </c>
      <c r="M1450" t="b">
        <v>0</v>
      </c>
      <c r="N1450" t="inlineStr">
        <is>
          <t>alt</t>
        </is>
      </c>
      <c r="O1450" t="n">
        <v>25</v>
      </c>
      <c r="P1450" t="n">
        <v>0.01318</v>
      </c>
      <c r="Q1450" t="n">
        <v>5</v>
      </c>
      <c r="R1450" t="n">
        <v>0.01361</v>
      </c>
      <c r="S1450">
        <f>IMAGE("https://mitra.stanford.edu/kundaje/oak/projects/neuro-variants/variant_position/credible/roussos_2024/variant_figures/roussos_2024.adolescence.Astrocyte/rs12933055_count_position.png",4,220,900)</f>
        <v/>
      </c>
      <c r="T1450">
        <f>IMAGE("https://mitra.stanford.edu/kundaje/oak/projects/neuro-variants/variant_position/credible/roussos_2024/variant_figures/roussos_2024.adolescence.Astrocyte/rs12933055_profile_position.png",4,220,900)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0.01097609726</v>
      </c>
      <c r="G1451" t="n">
        <v>0.6945720534190051</v>
      </c>
      <c r="H1451" t="n">
        <v>0.0156226049758072</v>
      </c>
      <c r="I1451" t="n">
        <v>0.2897671825187693</v>
      </c>
      <c r="J1451" t="n">
        <v>0.003719995252648</v>
      </c>
      <c r="K1451" t="n">
        <v>0.7730619058463888</v>
      </c>
      <c r="L1451" t="b">
        <v>0</v>
      </c>
      <c r="M1451" t="b">
        <v>0</v>
      </c>
      <c r="N1451" t="inlineStr">
        <is>
          <t>alt</t>
        </is>
      </c>
      <c r="O1451" t="n">
        <v>-50</v>
      </c>
      <c r="P1451" t="n">
        <v>0.03302</v>
      </c>
      <c r="Q1451" t="n">
        <v>100</v>
      </c>
      <c r="R1451" t="n">
        <v>0.04858</v>
      </c>
      <c r="S1451">
        <f>IMAGE("https://mitra.stanford.edu/kundaje/oak/projects/neuro-variants/variant_position/credible/roussos_2024/variant_figures/roussos_2024.adolescence.Astrocyte/rs2926123_count_position.png",4,220,900)</f>
        <v/>
      </c>
      <c r="T1451">
        <f>IMAGE("https://mitra.stanford.edu/kundaje/oak/projects/neuro-variants/variant_position/credible/roussos_2024/variant_figures/roussos_2024.adolescence.Astrocyte/rs2926123_profile_position.png",4,220,900)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-0.01452076994</v>
      </c>
      <c r="G1452" t="n">
        <v>0.6596877075554943</v>
      </c>
      <c r="H1452" t="n">
        <v>0.0119062405642942</v>
      </c>
      <c r="I1452" t="n">
        <v>0.5490094310803441</v>
      </c>
      <c r="J1452" t="n">
        <v>0.4212636857253063</v>
      </c>
      <c r="K1452" t="n">
        <v>0.0790873749960002</v>
      </c>
      <c r="L1452" t="b">
        <v>0</v>
      </c>
      <c r="M1452" t="b">
        <v>0</v>
      </c>
      <c r="N1452" t="inlineStr">
        <is>
          <t>ref</t>
        </is>
      </c>
      <c r="O1452" t="n">
        <v>100</v>
      </c>
      <c r="P1452" t="n">
        <v>0.03836</v>
      </c>
      <c r="Q1452" t="n">
        <v>100</v>
      </c>
      <c r="R1452" t="n">
        <v>0.2146</v>
      </c>
      <c r="S1452">
        <f>IMAGE("https://mitra.stanford.edu/kundaje/oak/projects/neuro-variants/variant_position/credible/roussos_2024/variant_figures/roussos_2024.adolescence.Astrocyte/rs2917686_count_position.png",4,220,900)</f>
        <v/>
      </c>
      <c r="T1452">
        <f>IMAGE("https://mitra.stanford.edu/kundaje/oak/projects/neuro-variants/variant_position/credible/roussos_2024/variant_figures/roussos_2024.adolescence.Astrocyte/rs2917686_profile_position.png",4,220,900)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-0.248915026</v>
      </c>
      <c r="G1453" t="n">
        <v>0.0106704568989848</v>
      </c>
      <c r="H1453" t="n">
        <v>0.0374195254177874</v>
      </c>
      <c r="I1453" t="n">
        <v>0.0127088790395982</v>
      </c>
      <c r="J1453" t="n">
        <v>0.4649823457852416</v>
      </c>
      <c r="K1453" t="n">
        <v>0.0645695639839875</v>
      </c>
      <c r="L1453" t="b">
        <v>1</v>
      </c>
      <c r="M1453" t="b">
        <v>0</v>
      </c>
      <c r="N1453" t="inlineStr">
        <is>
          <t>ref</t>
        </is>
      </c>
      <c r="O1453" t="n">
        <v>55</v>
      </c>
      <c r="P1453" t="n">
        <v>0.02231</v>
      </c>
      <c r="Q1453" t="n">
        <v>35</v>
      </c>
      <c r="R1453" t="n">
        <v>0.1074</v>
      </c>
      <c r="S1453">
        <f>IMAGE("https://mitra.stanford.edu/kundaje/oak/projects/neuro-variants/variant_position/credible/roussos_2024/variant_figures/roussos_2024.adolescence.Astrocyte/rs2917688_count_position.png",4,220,900)</f>
        <v/>
      </c>
      <c r="T1453">
        <f>IMAGE("https://mitra.stanford.edu/kundaje/oak/projects/neuro-variants/variant_position/credible/roussos_2024/variant_figures/roussos_2024.adolescence.Astrocyte/rs2917688_profile_position.png",4,220,900)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-0.144177515</v>
      </c>
      <c r="G1454" t="n">
        <v>0.0404566256384839</v>
      </c>
      <c r="H1454" t="n">
        <v>0.0234757073657072</v>
      </c>
      <c r="I1454" t="n">
        <v>0.08177191922740031</v>
      </c>
      <c r="J1454" t="n">
        <v>0.0040448921460997</v>
      </c>
      <c r="K1454" t="n">
        <v>0.7851333069442251</v>
      </c>
      <c r="L1454" t="b">
        <v>0</v>
      </c>
      <c r="M1454" t="b">
        <v>0</v>
      </c>
      <c r="N1454" t="inlineStr">
        <is>
          <t>ref</t>
        </is>
      </c>
      <c r="O1454" t="n">
        <v>5</v>
      </c>
      <c r="P1454" t="n">
        <v>0.001892</v>
      </c>
      <c r="Q1454" t="n">
        <v>75</v>
      </c>
      <c r="R1454" t="n">
        <v>0.0536</v>
      </c>
      <c r="S1454">
        <f>IMAGE("https://mitra.stanford.edu/kundaje/oak/projects/neuro-variants/variant_position/credible/roussos_2024/variant_figures/roussos_2024.adolescence.Astrocyte/rs2917696_count_position.png",4,220,900)</f>
        <v/>
      </c>
      <c r="T1454">
        <f>IMAGE("https://mitra.stanford.edu/kundaje/oak/projects/neuro-variants/variant_position/credible/roussos_2024/variant_figures/roussos_2024.adolescence.Astrocyte/rs2917696_profile_position.png",4,220,900)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0.0462836835</v>
      </c>
      <c r="G1455" t="n">
        <v>0.2955589127181798</v>
      </c>
      <c r="H1455" t="n">
        <v>0.019544779319413</v>
      </c>
      <c r="I1455" t="n">
        <v>0.1469598191917625</v>
      </c>
      <c r="J1455" t="n">
        <v>0.015443729044892</v>
      </c>
      <c r="K1455" t="n">
        <v>0.6064704535458715</v>
      </c>
      <c r="L1455" t="b">
        <v>0</v>
      </c>
      <c r="M1455" t="b">
        <v>0</v>
      </c>
      <c r="N1455" t="inlineStr">
        <is>
          <t>alt</t>
        </is>
      </c>
      <c r="O1455" t="n">
        <v>35</v>
      </c>
      <c r="P1455" t="n">
        <v>0.002125</v>
      </c>
      <c r="Q1455" t="n">
        <v>80</v>
      </c>
      <c r="R1455" t="n">
        <v>0.1276</v>
      </c>
      <c r="S1455">
        <f>IMAGE("https://mitra.stanford.edu/kundaje/oak/projects/neuro-variants/variant_position/credible/roussos_2024/variant_figures/roussos_2024.adolescence.Astrocyte/rs12921977_count_position.png",4,220,900)</f>
        <v/>
      </c>
      <c r="T1455">
        <f>IMAGE("https://mitra.stanford.edu/kundaje/oak/projects/neuro-variants/variant_position/credible/roussos_2024/variant_figures/roussos_2024.adolescence.Astrocyte/rs12921977_profile_position.png",4,220,900)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-0.00804326476</v>
      </c>
      <c r="G1456" t="n">
        <v>0.7380400764324809</v>
      </c>
      <c r="H1456" t="n">
        <v>0.021465554894786</v>
      </c>
      <c r="I1456" t="n">
        <v>0.1091470119128387</v>
      </c>
      <c r="J1456" t="n">
        <v>0.0011883215144052</v>
      </c>
      <c r="K1456" t="n">
        <v>0.8643718634000803</v>
      </c>
      <c r="L1456" t="b">
        <v>0</v>
      </c>
      <c r="M1456" t="b">
        <v>0</v>
      </c>
      <c r="N1456" t="inlineStr">
        <is>
          <t>ref</t>
        </is>
      </c>
      <c r="O1456" t="n">
        <v>-60</v>
      </c>
      <c r="P1456" t="n">
        <v>0.00319</v>
      </c>
      <c r="Q1456" t="n">
        <v>-20</v>
      </c>
      <c r="R1456" t="n">
        <v>0.1061</v>
      </c>
      <c r="S1456">
        <f>IMAGE("https://mitra.stanford.edu/kundaje/oak/projects/neuro-variants/variant_position/credible/roussos_2024/variant_figures/roussos_2024.adolescence.Astrocyte/rs8058130_count_position.png",4,220,900)</f>
        <v/>
      </c>
      <c r="T1456">
        <f>IMAGE("https://mitra.stanford.edu/kundaje/oak/projects/neuro-variants/variant_position/credible/roussos_2024/variant_figures/roussos_2024.adolescence.Astrocyte/rs8058130_profile_position.png",4,220,900)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-0.0442639226</v>
      </c>
      <c r="G1457" t="n">
        <v>0.2591424625752994</v>
      </c>
      <c r="H1457" t="n">
        <v>0.0188444477479561</v>
      </c>
      <c r="I1457" t="n">
        <v>0.1675138497882288</v>
      </c>
      <c r="J1457" t="n">
        <v>0.0072404533721033</v>
      </c>
      <c r="K1457" t="n">
        <v>0.7210803714685337</v>
      </c>
      <c r="L1457" t="b">
        <v>0</v>
      </c>
      <c r="M1457" t="b">
        <v>0</v>
      </c>
      <c r="N1457" t="inlineStr">
        <is>
          <t>ref</t>
        </is>
      </c>
      <c r="O1457" t="n">
        <v>-30</v>
      </c>
      <c r="P1457" t="n">
        <v>0.002869</v>
      </c>
      <c r="Q1457" t="n">
        <v>0</v>
      </c>
      <c r="R1457" t="n">
        <v>0</v>
      </c>
      <c r="S1457">
        <f>IMAGE("https://mitra.stanford.edu/kundaje/oak/projects/neuro-variants/variant_position/credible/roussos_2024/variant_figures/roussos_2024.adolescence.Astrocyte/rs934655_count_position.png",4,220,900)</f>
        <v/>
      </c>
      <c r="T1457">
        <f>IMAGE("https://mitra.stanford.edu/kundaje/oak/projects/neuro-variants/variant_position/credible/roussos_2024/variant_figures/roussos_2024.adolescence.Astrocyte/rs934655_profile_position.png",4,220,900)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-0.029584472</v>
      </c>
      <c r="G1458" t="n">
        <v>0.2632388619012064</v>
      </c>
      <c r="H1458" t="n">
        <v>0.0133275479610969</v>
      </c>
      <c r="I1458" t="n">
        <v>0.4399436370898213</v>
      </c>
      <c r="J1458" t="n">
        <v>0.0038342284069666</v>
      </c>
      <c r="K1458" t="n">
        <v>0.7614744357669151</v>
      </c>
      <c r="L1458" t="b">
        <v>0</v>
      </c>
      <c r="M1458" t="b">
        <v>0</v>
      </c>
      <c r="N1458" t="inlineStr">
        <is>
          <t>ref</t>
        </is>
      </c>
      <c r="O1458" t="n">
        <v>-90</v>
      </c>
      <c r="P1458" t="n">
        <v>0.004555</v>
      </c>
      <c r="Q1458" t="n">
        <v>-5</v>
      </c>
      <c r="R1458" t="n">
        <v>0.003906</v>
      </c>
      <c r="S1458">
        <f>IMAGE("https://mitra.stanford.edu/kundaje/oak/projects/neuro-variants/variant_position/credible/roussos_2024/variant_figures/roussos_2024.adolescence.Astrocyte/rs4785823_count_position.png",4,220,900)</f>
        <v/>
      </c>
      <c r="T1458">
        <f>IMAGE("https://mitra.stanford.edu/kundaje/oak/projects/neuro-variants/variant_position/credible/roussos_2024/variant_figures/roussos_2024.adolescence.Astrocyte/rs4785823_profile_position.png",4,220,900)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0.00164774</v>
      </c>
      <c r="G1459" t="n">
        <v>0.8070555571480506</v>
      </c>
      <c r="H1459" t="n">
        <v>0.0282834685502196</v>
      </c>
      <c r="I1459" t="n">
        <v>0.0393779012795263</v>
      </c>
      <c r="J1459" t="n">
        <v>0.0019019078420318</v>
      </c>
      <c r="K1459" t="n">
        <v>0.8226197360221024</v>
      </c>
      <c r="L1459" t="b">
        <v>0</v>
      </c>
      <c r="M1459" t="b">
        <v>0</v>
      </c>
      <c r="N1459" t="inlineStr">
        <is>
          <t>alt</t>
        </is>
      </c>
      <c r="O1459" t="n">
        <v>60</v>
      </c>
      <c r="P1459" t="n">
        <v>0.0873</v>
      </c>
      <c r="Q1459" t="n">
        <v>35</v>
      </c>
      <c r="R1459" t="n">
        <v>0.06073</v>
      </c>
      <c r="S1459">
        <f>IMAGE("https://mitra.stanford.edu/kundaje/oak/projects/neuro-variants/variant_position/credible/roussos_2024/variant_figures/roussos_2024.adolescence.Astrocyte/rs7196496_count_position.png",4,220,900)</f>
        <v/>
      </c>
      <c r="T1459">
        <f>IMAGE("https://mitra.stanford.edu/kundaje/oak/projects/neuro-variants/variant_position/credible/roussos_2024/variant_figures/roussos_2024.adolescence.Astrocyte/rs7196496_profile_position.png",4,220,900)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0.0154171308</v>
      </c>
      <c r="G1460" t="n">
        <v>0.3069087861708042</v>
      </c>
      <c r="H1460" t="n">
        <v>0.0184863134455969</v>
      </c>
      <c r="I1460" t="n">
        <v>0.1844425594508441</v>
      </c>
      <c r="J1460" t="n">
        <v>0.1138014420081297</v>
      </c>
      <c r="K1460" t="n">
        <v>0.307990251123011</v>
      </c>
      <c r="L1460" t="b">
        <v>0</v>
      </c>
      <c r="M1460" t="b">
        <v>0</v>
      </c>
      <c r="N1460" t="inlineStr">
        <is>
          <t>alt</t>
        </is>
      </c>
      <c r="O1460" t="n">
        <v>-100</v>
      </c>
      <c r="P1460" t="n">
        <v>0.0939</v>
      </c>
      <c r="Q1460" t="n">
        <v>-100</v>
      </c>
      <c r="R1460" t="n">
        <v>0.1361</v>
      </c>
      <c r="S1460">
        <f>IMAGE("https://mitra.stanford.edu/kundaje/oak/projects/neuro-variants/variant_position/credible/roussos_2024/variant_figures/roussos_2024.adolescence.Astrocyte/rs11862377_count_position.png",4,220,900)</f>
        <v/>
      </c>
      <c r="T1460">
        <f>IMAGE("https://mitra.stanford.edu/kundaje/oak/projects/neuro-variants/variant_position/credible/roussos_2024/variant_figures/roussos_2024.adolescence.Astrocyte/rs11862377_profile_position.png",4,220,900)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0.0846570764</v>
      </c>
      <c r="G1461" t="n">
        <v>0.1129378464688795</v>
      </c>
      <c r="H1461" t="n">
        <v>0.0131821932568895</v>
      </c>
      <c r="I1461" t="n">
        <v>0.4478539837998626</v>
      </c>
      <c r="J1461" t="n">
        <v>0.0177728985550247</v>
      </c>
      <c r="K1461" t="n">
        <v>0.5931627981847696</v>
      </c>
      <c r="L1461" t="b">
        <v>0</v>
      </c>
      <c r="M1461" t="b">
        <v>0</v>
      </c>
      <c r="N1461" t="inlineStr">
        <is>
          <t>alt</t>
        </is>
      </c>
      <c r="O1461" t="n">
        <v>100</v>
      </c>
      <c r="P1461" t="n">
        <v>0.0168</v>
      </c>
      <c r="Q1461" t="n">
        <v>-10</v>
      </c>
      <c r="R1461" t="n">
        <v>0.01776</v>
      </c>
      <c r="S1461">
        <f>IMAGE("https://mitra.stanford.edu/kundaje/oak/projects/neuro-variants/variant_position/credible/roussos_2024/variant_figures/roussos_2024.adolescence.Astrocyte/rs13329803_count_position.png",4,220,900)</f>
        <v/>
      </c>
      <c r="T1461">
        <f>IMAGE("https://mitra.stanford.edu/kundaje/oak/projects/neuro-variants/variant_position/credible/roussos_2024/variant_figures/roussos_2024.adolescence.Astrocyte/rs13329803_profile_position.png",4,220,900)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-0.02171178216</v>
      </c>
      <c r="G1462" t="n">
        <v>0.525994646502739</v>
      </c>
      <c r="H1462" t="n">
        <v>0.03259253263936</v>
      </c>
      <c r="I1462" t="n">
        <v>0.0234283219902413</v>
      </c>
      <c r="J1462" t="n">
        <v>0.9392190606177492</v>
      </c>
      <c r="K1462" t="n">
        <v>0.000344941010164</v>
      </c>
      <c r="L1462" t="b">
        <v>0</v>
      </c>
      <c r="M1462" t="b">
        <v>0</v>
      </c>
      <c r="N1462" t="inlineStr">
        <is>
          <t>ref</t>
        </is>
      </c>
      <c r="O1462" t="n">
        <v>55</v>
      </c>
      <c r="P1462" t="n">
        <v>0.0785</v>
      </c>
      <c r="Q1462" t="n">
        <v>55</v>
      </c>
      <c r="R1462" t="n">
        <v>0.08495999999999999</v>
      </c>
      <c r="S1462">
        <f>IMAGE("https://mitra.stanford.edu/kundaje/oak/projects/neuro-variants/variant_position/credible/roussos_2024/variant_figures/roussos_2024.adolescence.Astrocyte/rs9929143_count_position.png",4,220,900)</f>
        <v/>
      </c>
      <c r="T1462">
        <f>IMAGE("https://mitra.stanford.edu/kundaje/oak/projects/neuro-variants/variant_position/credible/roussos_2024/variant_figures/roussos_2024.adolescence.Astrocyte/rs9929143_profile_position.png",4,220,900)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0.00909336612</v>
      </c>
      <c r="G1463" t="n">
        <v>0.756985863817709</v>
      </c>
      <c r="H1463" t="n">
        <v>0.0492360761102069</v>
      </c>
      <c r="I1463" t="n">
        <v>0.0042448222894087</v>
      </c>
      <c r="J1463" t="n">
        <v>0.001950123134439</v>
      </c>
      <c r="K1463" t="n">
        <v>0.8208404539876267</v>
      </c>
      <c r="L1463" t="b">
        <v>0</v>
      </c>
      <c r="M1463" t="b">
        <v>0</v>
      </c>
      <c r="N1463" t="inlineStr">
        <is>
          <t>alt</t>
        </is>
      </c>
      <c r="O1463" t="n">
        <v>-40</v>
      </c>
      <c r="P1463" t="n">
        <v>0.002226</v>
      </c>
      <c r="Q1463" t="n">
        <v>50</v>
      </c>
      <c r="R1463" t="n">
        <v>0.03102</v>
      </c>
      <c r="S1463">
        <f>IMAGE("https://mitra.stanford.edu/kundaje/oak/projects/neuro-variants/variant_position/credible/roussos_2024/variant_figures/roussos_2024.adolescence.Astrocyte/rs75228693_count_position.png",4,220,900)</f>
        <v/>
      </c>
      <c r="T1463">
        <f>IMAGE("https://mitra.stanford.edu/kundaje/oak/projects/neuro-variants/variant_position/credible/roussos_2024/variant_figures/roussos_2024.adolescence.Astrocyte/rs75228693_profile_position.png",4,220,900)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-0.0948790818</v>
      </c>
      <c r="G1464" t="n">
        <v>0.0905616492605385</v>
      </c>
      <c r="H1464" t="n">
        <v>0.0215733156465395</v>
      </c>
      <c r="I1464" t="n">
        <v>0.106577978761076</v>
      </c>
      <c r="J1464" t="n">
        <v>0.0309512506305075</v>
      </c>
      <c r="K1464" t="n">
        <v>0.5295754391576395</v>
      </c>
      <c r="L1464" t="b">
        <v>0</v>
      </c>
      <c r="M1464" t="b">
        <v>0</v>
      </c>
      <c r="N1464" t="inlineStr">
        <is>
          <t>ref</t>
        </is>
      </c>
      <c r="O1464" t="n">
        <v>15</v>
      </c>
      <c r="P1464" t="n">
        <v>0.001053</v>
      </c>
      <c r="Q1464" t="n">
        <v>35</v>
      </c>
      <c r="R1464" t="n">
        <v>0.008545000000000001</v>
      </c>
      <c r="S1464">
        <f>IMAGE("https://mitra.stanford.edu/kundaje/oak/projects/neuro-variants/variant_position/credible/roussos_2024/variant_figures/roussos_2024.adolescence.Astrocyte/rs16957058_count_position.png",4,220,900)</f>
        <v/>
      </c>
      <c r="T1464">
        <f>IMAGE("https://mitra.stanford.edu/kundaje/oak/projects/neuro-variants/variant_position/credible/roussos_2024/variant_figures/roussos_2024.adolescence.Astrocyte/rs16957058_profile_position.png",4,220,900)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0.036043421</v>
      </c>
      <c r="G1465" t="n">
        <v>0.2104982983195341</v>
      </c>
      <c r="H1465" t="n">
        <v>0.0114839869755658</v>
      </c>
      <c r="I1465" t="n">
        <v>0.601660868605585</v>
      </c>
      <c r="J1465" t="n">
        <v>0.0335912233332343</v>
      </c>
      <c r="K1465" t="n">
        <v>0.5023763407067828</v>
      </c>
      <c r="L1465" t="b">
        <v>0</v>
      </c>
      <c r="M1465" t="b">
        <v>0</v>
      </c>
      <c r="N1465" t="inlineStr">
        <is>
          <t>alt</t>
        </is>
      </c>
      <c r="O1465" t="n">
        <v>70</v>
      </c>
      <c r="P1465" t="n">
        <v>0.03558</v>
      </c>
      <c r="Q1465" t="n">
        <v>55</v>
      </c>
      <c r="R1465" t="n">
        <v>0.09937</v>
      </c>
      <c r="S1465">
        <f>IMAGE("https://mitra.stanford.edu/kundaje/oak/projects/neuro-variants/variant_position/credible/roussos_2024/variant_figures/roussos_2024.adolescence.Astrocyte/rs3026093_count_position.png",4,220,900)</f>
        <v/>
      </c>
      <c r="T1465">
        <f>IMAGE("https://mitra.stanford.edu/kundaje/oak/projects/neuro-variants/variant_position/credible/roussos_2024/variant_figures/roussos_2024.adolescence.Astrocyte/rs3026093_profile_position.png",4,220,900)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-0.0206160946</v>
      </c>
      <c r="G1466" t="n">
        <v>0.5425375234197757</v>
      </c>
      <c r="H1466" t="n">
        <v>0.0524242479950813</v>
      </c>
      <c r="I1466" t="n">
        <v>0.0032133087751576</v>
      </c>
      <c r="J1466" t="n">
        <v>0.0305544016853098</v>
      </c>
      <c r="K1466" t="n">
        <v>0.524037308882597</v>
      </c>
      <c r="L1466" t="b">
        <v>1</v>
      </c>
      <c r="M1466" t="b">
        <v>0</v>
      </c>
      <c r="N1466" t="inlineStr">
        <is>
          <t>ref</t>
        </is>
      </c>
      <c r="O1466" t="n">
        <v>-85</v>
      </c>
      <c r="P1466" t="n">
        <v>0.0511</v>
      </c>
      <c r="Q1466" t="n">
        <v>-50</v>
      </c>
      <c r="R1466" t="n">
        <v>0.0847</v>
      </c>
      <c r="S1466">
        <f>IMAGE("https://mitra.stanford.edu/kundaje/oak/projects/neuro-variants/variant_position/credible/roussos_2024/variant_figures/roussos_2024.adolescence.Astrocyte/rs9932517_count_position.png",4,220,900)</f>
        <v/>
      </c>
      <c r="T1466">
        <f>IMAGE("https://mitra.stanford.edu/kundaje/oak/projects/neuro-variants/variant_position/credible/roussos_2024/variant_figures/roussos_2024.adolescence.Astrocyte/rs9932517_profile_position.png",4,220,900)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0.269634968</v>
      </c>
      <c r="G1467" t="n">
        <v>0.008994470620797401</v>
      </c>
      <c r="H1467" t="n">
        <v>0.0436391093603091</v>
      </c>
      <c r="I1467" t="n">
        <v>0.0071902427427299</v>
      </c>
      <c r="J1467" t="n">
        <v>0.0766660237961012</v>
      </c>
      <c r="K1467" t="n">
        <v>0.36743193428428</v>
      </c>
      <c r="L1467" t="b">
        <v>1</v>
      </c>
      <c r="M1467" t="b">
        <v>1</v>
      </c>
      <c r="N1467" t="inlineStr">
        <is>
          <t>alt</t>
        </is>
      </c>
      <c r="O1467" t="n">
        <v>-95</v>
      </c>
      <c r="P1467" t="n">
        <v>0.01143</v>
      </c>
      <c r="Q1467" t="n">
        <v>-50</v>
      </c>
      <c r="R1467" t="n">
        <v>0.1359</v>
      </c>
      <c r="S1467">
        <f>IMAGE("https://mitra.stanford.edu/kundaje/oak/projects/neuro-variants/variant_position/credible/roussos_2024/variant_figures/roussos_2024.adolescence.Astrocyte/rs11861556_count_position.png",4,220,900)</f>
        <v/>
      </c>
      <c r="T1467">
        <f>IMAGE("https://mitra.stanford.edu/kundaje/oak/projects/neuro-variants/variant_position/credible/roussos_2024/variant_figures/roussos_2024.adolescence.Astrocyte/rs11861556_profile_position.png",4,220,900)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-0.0253267739</v>
      </c>
      <c r="G1468" t="n">
        <v>0.482783764114552</v>
      </c>
      <c r="H1468" t="n">
        <v>0.0105543079362831</v>
      </c>
      <c r="I1468" t="n">
        <v>0.6840824913249204</v>
      </c>
      <c r="J1468" t="n">
        <v>0.1541161024241165</v>
      </c>
      <c r="K1468" t="n">
        <v>0.2491058109603117</v>
      </c>
      <c r="L1468" t="b">
        <v>0</v>
      </c>
      <c r="M1468" t="b">
        <v>0</v>
      </c>
      <c r="N1468" t="inlineStr">
        <is>
          <t>ref</t>
        </is>
      </c>
      <c r="O1468" t="n">
        <v>-35</v>
      </c>
      <c r="P1468" t="n">
        <v>0.003078</v>
      </c>
      <c r="Q1468" t="n">
        <v>-90</v>
      </c>
      <c r="R1468" t="n">
        <v>0.1503</v>
      </c>
      <c r="S1468">
        <f>IMAGE("https://mitra.stanford.edu/kundaje/oak/projects/neuro-variants/variant_position/credible/roussos_2024/variant_figures/roussos_2024.adolescence.Astrocyte/rs28442574_count_position.png",4,220,900)</f>
        <v/>
      </c>
      <c r="T1468">
        <f>IMAGE("https://mitra.stanford.edu/kundaje/oak/projects/neuro-variants/variant_position/credible/roussos_2024/variant_figures/roussos_2024.adolescence.Astrocyte/rs28442574_profile_position.png",4,220,900)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-0.007942884860000001</v>
      </c>
      <c r="G1469" t="n">
        <v>0.6539572808524354</v>
      </c>
      <c r="H1469" t="n">
        <v>0.0116023451194306</v>
      </c>
      <c r="I1469" t="n">
        <v>0.5816861937751414</v>
      </c>
      <c r="J1469" t="n">
        <v>0.3611955908969527</v>
      </c>
      <c r="K1469" t="n">
        <v>0.1038397867114573</v>
      </c>
      <c r="L1469" t="b">
        <v>0</v>
      </c>
      <c r="M1469" t="b">
        <v>0</v>
      </c>
      <c r="N1469" t="inlineStr">
        <is>
          <t>ref</t>
        </is>
      </c>
      <c r="O1469" t="n">
        <v>70</v>
      </c>
      <c r="P1469" t="n">
        <v>0.02669</v>
      </c>
      <c r="Q1469" t="n">
        <v>70</v>
      </c>
      <c r="R1469" t="n">
        <v>0.179</v>
      </c>
      <c r="S1469">
        <f>IMAGE("https://mitra.stanford.edu/kundaje/oak/projects/neuro-variants/variant_position/credible/roussos_2024/variant_figures/roussos_2024.adolescence.Astrocyte/rs73586830_count_position.png",4,220,900)</f>
        <v/>
      </c>
      <c r="T1469">
        <f>IMAGE("https://mitra.stanford.edu/kundaje/oak/projects/neuro-variants/variant_position/credible/roussos_2024/variant_figures/roussos_2024.adolescence.Astrocyte/rs73586830_profile_position.png",4,220,900)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0.0169776022</v>
      </c>
      <c r="G1470" t="n">
        <v>0.5934233000416248</v>
      </c>
      <c r="H1470" t="n">
        <v>0.008279128782891399</v>
      </c>
      <c r="I1470" t="n">
        <v>0.9088085730526784</v>
      </c>
      <c r="J1470" t="n">
        <v>0.2918160104441741</v>
      </c>
      <c r="K1470" t="n">
        <v>0.1405158568440463</v>
      </c>
      <c r="L1470" t="b">
        <v>0</v>
      </c>
      <c r="M1470" t="b">
        <v>0</v>
      </c>
      <c r="N1470" t="inlineStr">
        <is>
          <t>alt</t>
        </is>
      </c>
      <c r="O1470" t="n">
        <v>-95</v>
      </c>
      <c r="P1470" t="n">
        <v>0.010124</v>
      </c>
      <c r="Q1470" t="n">
        <v>-95</v>
      </c>
      <c r="R1470" t="n">
        <v>0.1606</v>
      </c>
      <c r="S1470">
        <f>IMAGE("https://mitra.stanford.edu/kundaje/oak/projects/neuro-variants/variant_position/credible/roussos_2024/variant_figures/roussos_2024.adolescence.Astrocyte/rs59454517_count_position.png",4,220,900)</f>
        <v/>
      </c>
      <c r="T1470">
        <f>IMAGE("https://mitra.stanford.edu/kundaje/oak/projects/neuro-variants/variant_position/credible/roussos_2024/variant_figures/roussos_2024.adolescence.Astrocyte/rs59454517_profile_position.png",4,220,900)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-0.034228681</v>
      </c>
      <c r="G1471" t="n">
        <v>0.3663393615657357</v>
      </c>
      <c r="H1471" t="n">
        <v>0.01228209259447</v>
      </c>
      <c r="I1471" t="n">
        <v>0.5315050181431848</v>
      </c>
      <c r="J1471" t="n">
        <v>0.0312086461145891</v>
      </c>
      <c r="K1471" t="n">
        <v>0.5328093606165089</v>
      </c>
      <c r="L1471" t="b">
        <v>0</v>
      </c>
      <c r="M1471" t="b">
        <v>0</v>
      </c>
      <c r="N1471" t="inlineStr">
        <is>
          <t>ref</t>
        </is>
      </c>
      <c r="O1471" t="n">
        <v>-85</v>
      </c>
      <c r="P1471" t="n">
        <v>0.003893</v>
      </c>
      <c r="Q1471" t="n">
        <v>15</v>
      </c>
      <c r="R1471" t="n">
        <v>0.00534</v>
      </c>
      <c r="S1471">
        <f>IMAGE("https://mitra.stanford.edu/kundaje/oak/projects/neuro-variants/variant_position/credible/roussos_2024/variant_figures/roussos_2024.adolescence.Astrocyte/rs17767961_count_position.png",4,220,900)</f>
        <v/>
      </c>
      <c r="T1471">
        <f>IMAGE("https://mitra.stanford.edu/kundaje/oak/projects/neuro-variants/variant_position/credible/roussos_2024/variant_figures/roussos_2024.adolescence.Astrocyte/rs17767961_profile_position.png",4,220,900)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-0.014716607</v>
      </c>
      <c r="G1472" t="n">
        <v>0.6465604977689263</v>
      </c>
      <c r="H1472" t="n">
        <v>0.0363432394847198</v>
      </c>
      <c r="I1472" t="n">
        <v>0.0143652237694686</v>
      </c>
      <c r="J1472" t="n">
        <v>0.0140773818354448</v>
      </c>
      <c r="K1472" t="n">
        <v>0.61261300655094</v>
      </c>
      <c r="L1472" t="b">
        <v>1</v>
      </c>
      <c r="M1472" t="b">
        <v>0</v>
      </c>
      <c r="N1472" t="inlineStr">
        <is>
          <t>ref</t>
        </is>
      </c>
      <c r="O1472" t="n">
        <v>-60</v>
      </c>
      <c r="P1472" t="n">
        <v>0.011</v>
      </c>
      <c r="Q1472" t="n">
        <v>-80</v>
      </c>
      <c r="R1472" t="n">
        <v>0.11755</v>
      </c>
      <c r="S1472">
        <f>IMAGE("https://mitra.stanford.edu/kundaje/oak/projects/neuro-variants/variant_position/credible/roussos_2024/variant_figures/roussos_2024.adolescence.Astrocyte/rs150710353_count_position.png",4,220,900)</f>
        <v/>
      </c>
      <c r="T1472">
        <f>IMAGE("https://mitra.stanford.edu/kundaje/oak/projects/neuro-variants/variant_position/credible/roussos_2024/variant_figures/roussos_2024.adolescence.Astrocyte/rs150710353_profile_position.png",4,220,900)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0.262904406</v>
      </c>
      <c r="G1473" t="n">
        <v>0.0090542869883575</v>
      </c>
      <c r="H1473" t="n">
        <v>0.0245707975141131</v>
      </c>
      <c r="I1473" t="n">
        <v>0.0674347590736873</v>
      </c>
      <c r="J1473" t="n">
        <v>0.40173500875293</v>
      </c>
      <c r="K1473" t="n">
        <v>0.0874672799507128</v>
      </c>
      <c r="L1473" t="b">
        <v>1</v>
      </c>
      <c r="M1473" t="b">
        <v>1</v>
      </c>
      <c r="N1473" t="inlineStr">
        <is>
          <t>alt</t>
        </is>
      </c>
      <c r="O1473" t="n">
        <v>-10</v>
      </c>
      <c r="P1473" t="n">
        <v>0.001587</v>
      </c>
      <c r="Q1473" t="n">
        <v>-50</v>
      </c>
      <c r="R1473" t="n">
        <v>0.012695</v>
      </c>
      <c r="S1473">
        <f>IMAGE("https://mitra.stanford.edu/kundaje/oak/projects/neuro-variants/variant_position/credible/roussos_2024/variant_figures/roussos_2024.adolescence.Astrocyte/rs77801206_count_position.png",4,220,900)</f>
        <v/>
      </c>
      <c r="T1473">
        <f>IMAGE("https://mitra.stanford.edu/kundaje/oak/projects/neuro-variants/variant_position/credible/roussos_2024/variant_figures/roussos_2024.adolescence.Astrocyte/rs77801206_profile_position.png",4,220,900)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-0.0683988062</v>
      </c>
      <c r="G1474" t="n">
        <v>0.1491388006330681</v>
      </c>
      <c r="H1474" t="n">
        <v>0.0177688059507405</v>
      </c>
      <c r="I1474" t="n">
        <v>0.1988974715692459</v>
      </c>
      <c r="J1474" t="n">
        <v>0.0218756490520131</v>
      </c>
      <c r="K1474" t="n">
        <v>0.5742223572535308</v>
      </c>
      <c r="L1474" t="b">
        <v>0</v>
      </c>
      <c r="M1474" t="b">
        <v>0</v>
      </c>
      <c r="N1474" t="inlineStr">
        <is>
          <t>ref</t>
        </is>
      </c>
      <c r="O1474" t="n">
        <v>-75</v>
      </c>
      <c r="P1474" t="n">
        <v>0.01013</v>
      </c>
      <c r="Q1474" t="n">
        <v>70</v>
      </c>
      <c r="R1474" t="n">
        <v>0.2117</v>
      </c>
      <c r="S1474">
        <f>IMAGE("https://mitra.stanford.edu/kundaje/oak/projects/neuro-variants/variant_position/credible/roussos_2024/variant_figures/roussos_2024.adolescence.Astrocyte/rs148571332_count_position.png",4,220,900)</f>
        <v/>
      </c>
      <c r="T1474">
        <f>IMAGE("https://mitra.stanford.edu/kundaje/oak/projects/neuro-variants/variant_position/credible/roussos_2024/variant_figures/roussos_2024.adolescence.Astrocyte/rs148571332_profile_position.png",4,220,900)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0.063675704</v>
      </c>
      <c r="G1475" t="n">
        <v>0.1707973797319226</v>
      </c>
      <c r="H1475" t="n">
        <v>0.0148917884066037</v>
      </c>
      <c r="I1475" t="n">
        <v>0.3311343215925498</v>
      </c>
      <c r="J1475" t="n">
        <v>0.2037912055306649</v>
      </c>
      <c r="K1475" t="n">
        <v>0.2010061721046525</v>
      </c>
      <c r="L1475" t="b">
        <v>0</v>
      </c>
      <c r="M1475" t="b">
        <v>0</v>
      </c>
      <c r="N1475" t="inlineStr">
        <is>
          <t>alt</t>
        </is>
      </c>
      <c r="O1475" t="n">
        <v>80</v>
      </c>
      <c r="P1475" t="n">
        <v>0.003782</v>
      </c>
      <c r="Q1475" t="n">
        <v>-15</v>
      </c>
      <c r="R1475" t="n">
        <v>0.01746</v>
      </c>
      <c r="S1475">
        <f>IMAGE("https://mitra.stanford.edu/kundaje/oak/projects/neuro-variants/variant_position/credible/roussos_2024/variant_figures/roussos_2024.adolescence.Astrocyte/rs8047207_count_position.png",4,220,900)</f>
        <v/>
      </c>
      <c r="T1475">
        <f>IMAGE("https://mitra.stanford.edu/kundaje/oak/projects/neuro-variants/variant_position/credible/roussos_2024/variant_figures/roussos_2024.adolescence.Astrocyte/rs8047207_profile_position.png",4,220,900)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0.0641778554</v>
      </c>
      <c r="G1476" t="n">
        <v>0.1696316611741103</v>
      </c>
      <c r="H1476" t="n">
        <v>0.0156112143527603</v>
      </c>
      <c r="I1476" t="n">
        <v>0.301018282048581</v>
      </c>
      <c r="J1476" t="n">
        <v>0.3588671631605495</v>
      </c>
      <c r="K1476" t="n">
        <v>0.1046825946419328</v>
      </c>
      <c r="L1476" t="b">
        <v>0</v>
      </c>
      <c r="M1476" t="b">
        <v>0</v>
      </c>
      <c r="N1476" t="inlineStr">
        <is>
          <t>alt</t>
        </is>
      </c>
      <c r="O1476" t="n">
        <v>-100</v>
      </c>
      <c r="P1476" t="n">
        <v>0.04303</v>
      </c>
      <c r="Q1476" t="n">
        <v>-100</v>
      </c>
      <c r="R1476" t="n">
        <v>0.415</v>
      </c>
      <c r="S1476">
        <f>IMAGE("https://mitra.stanford.edu/kundaje/oak/projects/neuro-variants/variant_position/credible/roussos_2024/variant_figures/roussos_2024.adolescence.Astrocyte/rs76171566_count_position.png",4,220,900)</f>
        <v/>
      </c>
      <c r="T1476">
        <f>IMAGE("https://mitra.stanford.edu/kundaje/oak/projects/neuro-variants/variant_position/credible/roussos_2024/variant_figures/roussos_2024.adolescence.Astrocyte/rs76171566_profile_position.png",4,220,900)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0.01312202666</v>
      </c>
      <c r="G1477" t="n">
        <v>0.6768931470324822</v>
      </c>
      <c r="H1477" t="n">
        <v>0.0275006372815056</v>
      </c>
      <c r="I1477" t="n">
        <v>0.0437393082632394</v>
      </c>
      <c r="J1477" t="n">
        <v>0.0028528617630477</v>
      </c>
      <c r="K1477" t="n">
        <v>0.8051541629222358</v>
      </c>
      <c r="L1477" t="b">
        <v>0</v>
      </c>
      <c r="M1477" t="b">
        <v>0</v>
      </c>
      <c r="N1477" t="inlineStr">
        <is>
          <t>alt</t>
        </is>
      </c>
      <c r="O1477" t="n">
        <v>15</v>
      </c>
      <c r="P1477" t="n">
        <v>0.005486</v>
      </c>
      <c r="Q1477" t="n">
        <v>100</v>
      </c>
      <c r="R1477" t="n">
        <v>0.0863</v>
      </c>
      <c r="S1477">
        <f>IMAGE("https://mitra.stanford.edu/kundaje/oak/projects/neuro-variants/variant_position/credible/roussos_2024/variant_figures/roussos_2024.adolescence.Astrocyte/rs78587942_count_position.png",4,220,900)</f>
        <v/>
      </c>
      <c r="T1477">
        <f>IMAGE("https://mitra.stanford.edu/kundaje/oak/projects/neuro-variants/variant_position/credible/roussos_2024/variant_figures/roussos_2024.adolescence.Astrocyte/rs78587942_profile_position.png",4,220,900)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0.0089305064</v>
      </c>
      <c r="G1478" t="n">
        <v>0.1099916927819394</v>
      </c>
      <c r="H1478" t="n">
        <v>0.0193208469407277</v>
      </c>
      <c r="I1478" t="n">
        <v>0.1613838430953972</v>
      </c>
      <c r="J1478" t="n">
        <v>0.3524196659051123</v>
      </c>
      <c r="K1478" t="n">
        <v>0.1078691313000516</v>
      </c>
      <c r="L1478" t="b">
        <v>0</v>
      </c>
      <c r="M1478" t="b">
        <v>0</v>
      </c>
      <c r="N1478" t="inlineStr">
        <is>
          <t>alt</t>
        </is>
      </c>
      <c r="O1478" t="n">
        <v>-100</v>
      </c>
      <c r="P1478" t="n">
        <v>0.01136</v>
      </c>
      <c r="Q1478" t="n">
        <v>-100</v>
      </c>
      <c r="R1478" t="n">
        <v>0.01416</v>
      </c>
      <c r="S1478">
        <f>IMAGE("https://mitra.stanford.edu/kundaje/oak/projects/neuro-variants/variant_position/credible/roussos_2024/variant_figures/roussos_2024.adolescence.Astrocyte/rs2290699_count_position.png",4,220,900)</f>
        <v/>
      </c>
      <c r="T1478">
        <f>IMAGE("https://mitra.stanford.edu/kundaje/oak/projects/neuro-variants/variant_position/credible/roussos_2024/variant_figures/roussos_2024.adolescence.Astrocyte/rs2290699_profile_position.png",4,220,900)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0.0799976075999999</v>
      </c>
      <c r="G1479" t="n">
        <v>0.1240980579450123</v>
      </c>
      <c r="H1479" t="n">
        <v>0.0127332727149194</v>
      </c>
      <c r="I1479" t="n">
        <v>0.4842644514203797</v>
      </c>
      <c r="J1479" t="n">
        <v>0.4424821232531228</v>
      </c>
      <c r="K1479" t="n">
        <v>0.07280016392012451</v>
      </c>
      <c r="L1479" t="b">
        <v>0</v>
      </c>
      <c r="M1479" t="b">
        <v>0</v>
      </c>
      <c r="N1479" t="inlineStr">
        <is>
          <t>alt</t>
        </is>
      </c>
      <c r="O1479" t="n">
        <v>-20</v>
      </c>
      <c r="P1479" t="n">
        <v>0.003883</v>
      </c>
      <c r="Q1479" t="n">
        <v>40</v>
      </c>
      <c r="R1479" t="n">
        <v>0.1395</v>
      </c>
      <c r="S1479">
        <f>IMAGE("https://mitra.stanford.edu/kundaje/oak/projects/neuro-variants/variant_position/credible/roussos_2024/variant_figures/roussos_2024.adolescence.Astrocyte/rs116580887_count_position.png",4,220,900)</f>
        <v/>
      </c>
      <c r="T1479">
        <f>IMAGE("https://mitra.stanford.edu/kundaje/oak/projects/neuro-variants/variant_position/credible/roussos_2024/variant_figures/roussos_2024.adolescence.Astrocyte/rs116580887_profile_position.png",4,220,900)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0.0047864963999999</v>
      </c>
      <c r="G1480" t="n">
        <v>0.200184274241337</v>
      </c>
      <c r="H1480" t="n">
        <v>0.0130399439855252</v>
      </c>
      <c r="I1480" t="n">
        <v>0.4668783246337009</v>
      </c>
      <c r="J1480" t="n">
        <v>0.0196592291487404</v>
      </c>
      <c r="K1480" t="n">
        <v>0.5844124098630645</v>
      </c>
      <c r="L1480" t="b">
        <v>0</v>
      </c>
      <c r="M1480" t="b">
        <v>0</v>
      </c>
      <c r="N1480" t="inlineStr">
        <is>
          <t>alt</t>
        </is>
      </c>
      <c r="O1480" t="n">
        <v>5</v>
      </c>
      <c r="P1480" t="n">
        <v>0.0002537</v>
      </c>
      <c r="Q1480" t="n">
        <v>-85</v>
      </c>
      <c r="R1480" t="n">
        <v>0.1443</v>
      </c>
      <c r="S1480">
        <f>IMAGE("https://mitra.stanford.edu/kundaje/oak/projects/neuro-variants/variant_position/credible/roussos_2024/variant_figures/roussos_2024.adolescence.Astrocyte/rs78805615_count_position.png",4,220,900)</f>
        <v/>
      </c>
      <c r="T1480">
        <f>IMAGE("https://mitra.stanford.edu/kundaje/oak/projects/neuro-variants/variant_position/credible/roussos_2024/variant_figures/roussos_2024.adolescence.Astrocyte/rs78805615_profile_position.png",4,220,900)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-0.049429746</v>
      </c>
      <c r="G1481" t="n">
        <v>0.2454975754643449</v>
      </c>
      <c r="H1481" t="n">
        <v>0.0100349078845236</v>
      </c>
      <c r="I1481" t="n">
        <v>0.7506861637074215</v>
      </c>
      <c r="J1481" t="n">
        <v>0.527575438388274</v>
      </c>
      <c r="K1481" t="n">
        <v>0.0494881903243542</v>
      </c>
      <c r="L1481" t="b">
        <v>0</v>
      </c>
      <c r="M1481" t="b">
        <v>0</v>
      </c>
      <c r="N1481" t="inlineStr">
        <is>
          <t>ref</t>
        </is>
      </c>
      <c r="O1481" t="n">
        <v>90</v>
      </c>
      <c r="P1481" t="n">
        <v>0.02383</v>
      </c>
      <c r="Q1481" t="n">
        <v>100</v>
      </c>
      <c r="R1481" t="n">
        <v>0.3503</v>
      </c>
      <c r="S1481">
        <f>IMAGE("https://mitra.stanford.edu/kundaje/oak/projects/neuro-variants/variant_position/credible/roussos_2024/variant_figures/roussos_2024.adolescence.Astrocyte/rs12925938_count_position.png",4,220,900)</f>
        <v/>
      </c>
      <c r="T1481">
        <f>IMAGE("https://mitra.stanford.edu/kundaje/oak/projects/neuro-variants/variant_position/credible/roussos_2024/variant_figures/roussos_2024.adolescence.Astrocyte/rs12925938_profile_position.png",4,220,900)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-0.19460903</v>
      </c>
      <c r="G1482" t="n">
        <v>0.0197497148838749</v>
      </c>
      <c r="H1482" t="n">
        <v>0.0442453477651044</v>
      </c>
      <c r="I1482" t="n">
        <v>0.0065480917626405</v>
      </c>
      <c r="J1482" t="n">
        <v>0.6363765836869122</v>
      </c>
      <c r="K1482" t="n">
        <v>0.0264626333679001</v>
      </c>
      <c r="L1482" t="b">
        <v>1</v>
      </c>
      <c r="M1482" t="b">
        <v>1</v>
      </c>
      <c r="N1482" t="inlineStr">
        <is>
          <t>ref</t>
        </is>
      </c>
      <c r="O1482" t="n">
        <v>100</v>
      </c>
      <c r="P1482" t="n">
        <v>0.004406</v>
      </c>
      <c r="Q1482" t="n">
        <v>-50</v>
      </c>
      <c r="R1482" t="n">
        <v>0.0426</v>
      </c>
      <c r="S1482">
        <f>IMAGE("https://mitra.stanford.edu/kundaje/oak/projects/neuro-variants/variant_position/credible/roussos_2024/variant_figures/roussos_2024.adolescence.Astrocyte/rs71395853_count_position.png",4,220,900)</f>
        <v/>
      </c>
      <c r="T1482">
        <f>IMAGE("https://mitra.stanford.edu/kundaje/oak/projects/neuro-variants/variant_position/credible/roussos_2024/variant_figures/roussos_2024.adolescence.Astrocyte/rs71395853_profile_position.png",4,220,900)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0.0659133398</v>
      </c>
      <c r="G1483" t="n">
        <v>0.1703688353091419</v>
      </c>
      <c r="H1483" t="n">
        <v>0.0164212839497343</v>
      </c>
      <c r="I1483" t="n">
        <v>0.2601454403020647</v>
      </c>
      <c r="J1483" t="n">
        <v>0.4331661869863216</v>
      </c>
      <c r="K1483" t="n">
        <v>0.0750764118279041</v>
      </c>
      <c r="L1483" t="b">
        <v>0</v>
      </c>
      <c r="M1483" t="b">
        <v>0</v>
      </c>
      <c r="N1483" t="inlineStr">
        <is>
          <t>alt</t>
        </is>
      </c>
      <c r="O1483" t="n">
        <v>-95</v>
      </c>
      <c r="P1483" t="n">
        <v>0.01032</v>
      </c>
      <c r="Q1483" t="n">
        <v>-95</v>
      </c>
      <c r="R1483" t="n">
        <v>0.2915</v>
      </c>
      <c r="S1483">
        <f>IMAGE("https://mitra.stanford.edu/kundaje/oak/projects/neuro-variants/variant_position/credible/roussos_2024/variant_figures/roussos_2024.adolescence.Astrocyte/rs11862968_count_position.png",4,220,900)</f>
        <v/>
      </c>
      <c r="T1483">
        <f>IMAGE("https://mitra.stanford.edu/kundaje/oak/projects/neuro-variants/variant_position/credible/roussos_2024/variant_figures/roussos_2024.adolescence.Astrocyte/rs11862968_profile_position.png",4,220,900)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-0.0475208686</v>
      </c>
      <c r="G1484" t="n">
        <v>0.260942177642525</v>
      </c>
      <c r="H1484" t="n">
        <v>0.012235198508758</v>
      </c>
      <c r="I1484" t="n">
        <v>0.5359945394008155</v>
      </c>
      <c r="J1484" t="n">
        <v>4.005578138444649e-05</v>
      </c>
      <c r="K1484" t="n">
        <v>0.9958866317940031</v>
      </c>
      <c r="L1484" t="b">
        <v>0</v>
      </c>
      <c r="M1484" t="b">
        <v>0</v>
      </c>
      <c r="N1484" t="inlineStr">
        <is>
          <t>ref</t>
        </is>
      </c>
      <c r="O1484" t="n">
        <v>-25</v>
      </c>
      <c r="P1484" t="n">
        <v>0.004234</v>
      </c>
      <c r="Q1484" t="n">
        <v>85</v>
      </c>
      <c r="R1484" t="n">
        <v>0.03394</v>
      </c>
      <c r="S1484">
        <f>IMAGE("https://mitra.stanford.edu/kundaje/oak/projects/neuro-variants/variant_position/credible/roussos_2024/variant_figures/roussos_2024.adolescence.Astrocyte/rs34669336_count_position.png",4,220,900)</f>
        <v/>
      </c>
      <c r="T1484">
        <f>IMAGE("https://mitra.stanford.edu/kundaje/oak/projects/neuro-variants/variant_position/credible/roussos_2024/variant_figures/roussos_2024.adolescence.Astrocyte/rs34669336_profile_position.png",4,220,900)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0.0194424026</v>
      </c>
      <c r="G1485" t="n">
        <v>0.5194934656004939</v>
      </c>
      <c r="H1485" t="n">
        <v>0.056750911894723</v>
      </c>
      <c r="I1485" t="n">
        <v>0.0024293207621318</v>
      </c>
      <c r="J1485" t="n">
        <v>0.0310766103907663</v>
      </c>
      <c r="K1485" t="n">
        <v>0.5125493729616667</v>
      </c>
      <c r="L1485" t="b">
        <v>1</v>
      </c>
      <c r="M1485" t="b">
        <v>0</v>
      </c>
      <c r="N1485" t="inlineStr">
        <is>
          <t>alt</t>
        </is>
      </c>
      <c r="O1485" t="n">
        <v>90</v>
      </c>
      <c r="P1485" t="n">
        <v>0.006348</v>
      </c>
      <c r="Q1485" t="n">
        <v>-70</v>
      </c>
      <c r="R1485" t="n">
        <v>0.1096</v>
      </c>
      <c r="S1485">
        <f>IMAGE("https://mitra.stanford.edu/kundaje/oak/projects/neuro-variants/variant_position/credible/roussos_2024/variant_figures/roussos_2024.adolescence.Astrocyte/rs11641316_count_position.png",4,220,900)</f>
        <v/>
      </c>
      <c r="T1485">
        <f>IMAGE("https://mitra.stanford.edu/kundaje/oak/projects/neuro-variants/variant_position/credible/roussos_2024/variant_figures/roussos_2024.adolescence.Astrocyte/rs11641316_profile_position.png",4,220,900)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0.0001296729999999</v>
      </c>
      <c r="G1486" t="n">
        <v>0.8719125637285839</v>
      </c>
      <c r="H1486" t="n">
        <v>0.008679651825040499</v>
      </c>
      <c r="I1486" t="n">
        <v>0.8696088931918075</v>
      </c>
      <c r="J1486" t="n">
        <v>0.0356874758923537</v>
      </c>
      <c r="K1486" t="n">
        <v>0.4964627058764697</v>
      </c>
      <c r="L1486" t="b">
        <v>0</v>
      </c>
      <c r="M1486" t="b">
        <v>0</v>
      </c>
      <c r="N1486" t="inlineStr">
        <is>
          <t>alt</t>
        </is>
      </c>
      <c r="O1486" t="n">
        <v>-95</v>
      </c>
      <c r="P1486" t="n">
        <v>0.0649</v>
      </c>
      <c r="Q1486" t="n">
        <v>85</v>
      </c>
      <c r="R1486" t="n">
        <v>0.1335</v>
      </c>
      <c r="S1486">
        <f>IMAGE("https://mitra.stanford.edu/kundaje/oak/projects/neuro-variants/variant_position/credible/roussos_2024/variant_figures/roussos_2024.adolescence.Astrocyte/rs13339524_count_position.png",4,220,900)</f>
        <v/>
      </c>
      <c r="T1486">
        <f>IMAGE("https://mitra.stanford.edu/kundaje/oak/projects/neuro-variants/variant_position/credible/roussos_2024/variant_figures/roussos_2024.adolescence.Astrocyte/rs13339524_profile_position.png",4,220,900)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0.09202174439999999</v>
      </c>
      <c r="G1487" t="n">
        <v>0.09731707617150499</v>
      </c>
      <c r="H1487" t="n">
        <v>0.0113460475625175</v>
      </c>
      <c r="I1487" t="n">
        <v>0.6007532846882295</v>
      </c>
      <c r="J1487" t="n">
        <v>0.2084554787407649</v>
      </c>
      <c r="K1487" t="n">
        <v>0.2007441018657302</v>
      </c>
      <c r="L1487" t="b">
        <v>0</v>
      </c>
      <c r="M1487" t="b">
        <v>0</v>
      </c>
      <c r="N1487" t="inlineStr">
        <is>
          <t>alt</t>
        </is>
      </c>
      <c r="O1487" t="n">
        <v>65</v>
      </c>
      <c r="P1487" t="n">
        <v>0.00809</v>
      </c>
      <c r="Q1487" t="n">
        <v>-70</v>
      </c>
      <c r="R1487" t="n">
        <v>0.1278</v>
      </c>
      <c r="S1487">
        <f>IMAGE("https://mitra.stanford.edu/kundaje/oak/projects/neuro-variants/variant_position/credible/roussos_2024/variant_figures/roussos_2024.adolescence.Astrocyte/rs2242413_count_position.png",4,220,900)</f>
        <v/>
      </c>
      <c r="T1487">
        <f>IMAGE("https://mitra.stanford.edu/kundaje/oak/projects/neuro-variants/variant_position/credible/roussos_2024/variant_figures/roussos_2024.adolescence.Astrocyte/rs2242413_profile_position.png",4,220,900)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-0.0346823312</v>
      </c>
      <c r="G1488" t="n">
        <v>0.3686399682689214</v>
      </c>
      <c r="H1488" t="n">
        <v>0.0217023114503202</v>
      </c>
      <c r="I1488" t="n">
        <v>0.1050340685402977</v>
      </c>
      <c r="J1488" t="n">
        <v>0.0280516571225113</v>
      </c>
      <c r="K1488" t="n">
        <v>0.5323391262316257</v>
      </c>
      <c r="L1488" t="b">
        <v>0</v>
      </c>
      <c r="M1488" t="b">
        <v>0</v>
      </c>
      <c r="N1488" t="inlineStr">
        <is>
          <t>ref</t>
        </is>
      </c>
      <c r="O1488" t="n">
        <v>100</v>
      </c>
      <c r="P1488" t="n">
        <v>0.01521</v>
      </c>
      <c r="Q1488" t="n">
        <v>100</v>
      </c>
      <c r="R1488" t="n">
        <v>0.1108</v>
      </c>
      <c r="S1488">
        <f>IMAGE("https://mitra.stanford.edu/kundaje/oak/projects/neuro-variants/variant_position/credible/roussos_2024/variant_figures/roussos_2024.adolescence.Astrocyte/rs9939870_count_position.png",4,220,900)</f>
        <v/>
      </c>
      <c r="T1488">
        <f>IMAGE("https://mitra.stanford.edu/kundaje/oak/projects/neuro-variants/variant_position/credible/roussos_2024/variant_figures/roussos_2024.adolescence.Astrocyte/rs9939870_profile_position.png",4,220,900)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0.1740572624</v>
      </c>
      <c r="G1489" t="n">
        <v>0.032732544412482</v>
      </c>
      <c r="H1489" t="n">
        <v>0.0408666955400902</v>
      </c>
      <c r="I1489" t="n">
        <v>0.0115286216496025</v>
      </c>
      <c r="J1489" t="n">
        <v>0.2101830697564015</v>
      </c>
      <c r="K1489" t="n">
        <v>0.194773745484359</v>
      </c>
      <c r="L1489" t="b">
        <v>1</v>
      </c>
      <c r="M1489" t="b">
        <v>0</v>
      </c>
      <c r="N1489" t="inlineStr">
        <is>
          <t>alt</t>
        </is>
      </c>
      <c r="O1489" t="n">
        <v>100</v>
      </c>
      <c r="P1489" t="n">
        <v>0.015076</v>
      </c>
      <c r="Q1489" t="n">
        <v>10</v>
      </c>
      <c r="R1489" t="n">
        <v>0.02667</v>
      </c>
      <c r="S1489">
        <f>IMAGE("https://mitra.stanford.edu/kundaje/oak/projects/neuro-variants/variant_position/credible/roussos_2024/variant_figures/roussos_2024.adolescence.Astrocyte/rs35124791_count_position.png",4,220,900)</f>
        <v/>
      </c>
      <c r="T1489">
        <f>IMAGE("https://mitra.stanford.edu/kundaje/oak/projects/neuro-variants/variant_position/credible/roussos_2024/variant_figures/roussos_2024.adolescence.Astrocyte/rs35124791_profile_position.png",4,220,900)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0.08004511020000001</v>
      </c>
      <c r="G1490" t="n">
        <v>0.1173596250576068</v>
      </c>
      <c r="H1490" t="n">
        <v>0.0111869226770838</v>
      </c>
      <c r="I1490" t="n">
        <v>0.6171431604007516</v>
      </c>
      <c r="J1490" t="n">
        <v>0.068551019197104</v>
      </c>
      <c r="K1490" t="n">
        <v>0.3873316609613595</v>
      </c>
      <c r="L1490" t="b">
        <v>0</v>
      </c>
      <c r="M1490" t="b">
        <v>0</v>
      </c>
      <c r="N1490" t="inlineStr">
        <is>
          <t>alt</t>
        </is>
      </c>
      <c r="O1490" t="n">
        <v>-100</v>
      </c>
      <c r="P1490" t="n">
        <v>0.002434</v>
      </c>
      <c r="Q1490" t="n">
        <v>55</v>
      </c>
      <c r="R1490" t="n">
        <v>0.0897</v>
      </c>
      <c r="S1490">
        <f>IMAGE("https://mitra.stanford.edu/kundaje/oak/projects/neuro-variants/variant_position/credible/roussos_2024/variant_figures/roussos_2024.adolescence.Astrocyte/rs3785074_count_position.png",4,220,900)</f>
        <v/>
      </c>
      <c r="T1490">
        <f>IMAGE("https://mitra.stanford.edu/kundaje/oak/projects/neuro-variants/variant_position/credible/roussos_2024/variant_figures/roussos_2024.adolescence.Astrocyte/rs3785074_profile_position.png",4,220,900)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-0.00327738048</v>
      </c>
      <c r="G1491" t="n">
        <v>0.6852027733720444</v>
      </c>
      <c r="H1491" t="n">
        <v>0.0111354571066976</v>
      </c>
      <c r="I1491" t="n">
        <v>0.6474124026488599</v>
      </c>
      <c r="J1491" t="n">
        <v>0.0004814111503426</v>
      </c>
      <c r="K1491" t="n">
        <v>0.9242991404514416</v>
      </c>
      <c r="L1491" t="b">
        <v>0</v>
      </c>
      <c r="M1491" t="b">
        <v>0</v>
      </c>
      <c r="N1491" t="inlineStr">
        <is>
          <t>ref</t>
        </is>
      </c>
      <c r="O1491" t="n">
        <v>-100</v>
      </c>
      <c r="P1491" t="n">
        <v>0.007286</v>
      </c>
      <c r="Q1491" t="n">
        <v>-100</v>
      </c>
      <c r="R1491" t="n">
        <v>0.1204</v>
      </c>
      <c r="S1491">
        <f>IMAGE("https://mitra.stanford.edu/kundaje/oak/projects/neuro-variants/variant_position/credible/roussos_2024/variant_figures/roussos_2024.adolescence.Astrocyte/rs11150463_count_position.png",4,220,900)</f>
        <v/>
      </c>
      <c r="T1491">
        <f>IMAGE("https://mitra.stanford.edu/kundaje/oak/projects/neuro-variants/variant_position/credible/roussos_2024/variant_figures/roussos_2024.adolescence.Astrocyte/rs11150463_profile_position.png",4,220,900)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-0.0016825432</v>
      </c>
      <c r="G1492" t="n">
        <v>0.6401389378236342</v>
      </c>
      <c r="H1492" t="n">
        <v>0.011175498424795</v>
      </c>
      <c r="I1492" t="n">
        <v>0.6295733920835999</v>
      </c>
      <c r="J1492" t="n">
        <v>0.0034804023380707</v>
      </c>
      <c r="K1492" t="n">
        <v>0.8051128520098014</v>
      </c>
      <c r="L1492" t="b">
        <v>0</v>
      </c>
      <c r="M1492" t="b">
        <v>0</v>
      </c>
      <c r="N1492" t="inlineStr">
        <is>
          <t>ref</t>
        </is>
      </c>
      <c r="O1492" t="n">
        <v>45</v>
      </c>
      <c r="P1492" t="n">
        <v>0.001488</v>
      </c>
      <c r="Q1492" t="n">
        <v>90</v>
      </c>
      <c r="R1492" t="n">
        <v>0.0925</v>
      </c>
      <c r="S1492">
        <f>IMAGE("https://mitra.stanford.edu/kundaje/oak/projects/neuro-variants/variant_position/credible/roussos_2024/variant_figures/roussos_2024.adolescence.Astrocyte/rs9940266_count_position.png",4,220,900)</f>
        <v/>
      </c>
      <c r="T1492">
        <f>IMAGE("https://mitra.stanford.edu/kundaje/oak/projects/neuro-variants/variant_position/credible/roussos_2024/variant_figures/roussos_2024.adolescence.Astrocyte/rs9940266_profile_position.png",4,220,900)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-0.0431545531999999</v>
      </c>
      <c r="G1493" t="n">
        <v>0.2847718574500755</v>
      </c>
      <c r="H1493" t="n">
        <v>0.0148155898874079</v>
      </c>
      <c r="I1493" t="n">
        <v>0.3378847896256212</v>
      </c>
      <c r="J1493" t="n">
        <v>0.1661550900513307</v>
      </c>
      <c r="K1493" t="n">
        <v>0.2374283184658951</v>
      </c>
      <c r="L1493" t="b">
        <v>0</v>
      </c>
      <c r="M1493" t="b">
        <v>0</v>
      </c>
      <c r="N1493" t="inlineStr">
        <is>
          <t>ref</t>
        </is>
      </c>
      <c r="O1493" t="n">
        <v>100</v>
      </c>
      <c r="P1493" t="n">
        <v>0.0246</v>
      </c>
      <c r="Q1493" t="n">
        <v>100</v>
      </c>
      <c r="R1493" t="n">
        <v>0.3242</v>
      </c>
      <c r="S1493">
        <f>IMAGE("https://mitra.stanford.edu/kundaje/oak/projects/neuro-variants/variant_position/credible/roussos_2024/variant_figures/roussos_2024.adolescence.Astrocyte/rs4782721_count_position.png",4,220,900)</f>
        <v/>
      </c>
      <c r="T1493">
        <f>IMAGE("https://mitra.stanford.edu/kundaje/oak/projects/neuro-variants/variant_position/credible/roussos_2024/variant_figures/roussos_2024.adolescence.Astrocyte/rs4782721_profile_position.png",4,220,900)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-0.094951495</v>
      </c>
      <c r="G1494" t="n">
        <v>0.08769446155689541</v>
      </c>
      <c r="H1494" t="n">
        <v>0.0224548524622228</v>
      </c>
      <c r="I1494" t="n">
        <v>0.0930785822305312</v>
      </c>
      <c r="J1494" t="n">
        <v>0.4426341868676379</v>
      </c>
      <c r="K1494" t="n">
        <v>0.07336818541493011</v>
      </c>
      <c r="L1494" t="b">
        <v>0</v>
      </c>
      <c r="M1494" t="b">
        <v>0</v>
      </c>
      <c r="N1494" t="inlineStr">
        <is>
          <t>ref</t>
        </is>
      </c>
      <c r="O1494" t="n">
        <v>100</v>
      </c>
      <c r="P1494" t="n">
        <v>0.004204</v>
      </c>
      <c r="Q1494" t="n">
        <v>100</v>
      </c>
      <c r="R1494" t="n">
        <v>0.1892</v>
      </c>
      <c r="S1494">
        <f>IMAGE("https://mitra.stanford.edu/kundaje/oak/projects/neuro-variants/variant_position/credible/roussos_2024/variant_figures/roussos_2024.adolescence.Astrocyte/rs7202931_count_position.png",4,220,900)</f>
        <v/>
      </c>
      <c r="T1494">
        <f>IMAGE("https://mitra.stanford.edu/kundaje/oak/projects/neuro-variants/variant_position/credible/roussos_2024/variant_figures/roussos_2024.adolescence.Astrocyte/rs7202931_profile_position.png",4,220,900)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0.0539135503999999</v>
      </c>
      <c r="G1495" t="n">
        <v>0.2325116359765452</v>
      </c>
      <c r="H1495" t="n">
        <v>0.0133954959362231</v>
      </c>
      <c r="I1495" t="n">
        <v>0.4252982203806438</v>
      </c>
      <c r="J1495" t="n">
        <v>0.2069904756253152</v>
      </c>
      <c r="K1495" t="n">
        <v>0.1967763882569737</v>
      </c>
      <c r="L1495" t="b">
        <v>0</v>
      </c>
      <c r="M1495" t="b">
        <v>0</v>
      </c>
      <c r="N1495" t="inlineStr">
        <is>
          <t>alt</t>
        </is>
      </c>
      <c r="O1495" t="n">
        <v>30</v>
      </c>
      <c r="P1495" t="n">
        <v>0.002258</v>
      </c>
      <c r="Q1495" t="n">
        <v>-10</v>
      </c>
      <c r="R1495" t="n">
        <v>0.01532</v>
      </c>
      <c r="S1495">
        <f>IMAGE("https://mitra.stanford.edu/kundaje/oak/projects/neuro-variants/variant_position/credible/roussos_2024/variant_figures/roussos_2024.adolescence.Astrocyte/rs12930379_count_position.png",4,220,900)</f>
        <v/>
      </c>
      <c r="T1495">
        <f>IMAGE("https://mitra.stanford.edu/kundaje/oak/projects/neuro-variants/variant_position/credible/roussos_2024/variant_figures/roussos_2024.adolescence.Astrocyte/rs12930379_profile_position.png",4,220,900)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0.0483836886</v>
      </c>
      <c r="G1496" t="n">
        <v>0.2329234199124521</v>
      </c>
      <c r="H1496" t="n">
        <v>0.0120729712554808</v>
      </c>
      <c r="I1496" t="n">
        <v>0.5372170184485234</v>
      </c>
      <c r="J1496" t="n">
        <v>0.0074800462866806</v>
      </c>
      <c r="K1496" t="n">
        <v>0.6895874952461951</v>
      </c>
      <c r="L1496" t="b">
        <v>0</v>
      </c>
      <c r="M1496" t="b">
        <v>0</v>
      </c>
      <c r="N1496" t="inlineStr">
        <is>
          <t>alt</t>
        </is>
      </c>
      <c r="O1496" t="n">
        <v>100</v>
      </c>
      <c r="P1496" t="n">
        <v>0.006866</v>
      </c>
      <c r="Q1496" t="n">
        <v>-100</v>
      </c>
      <c r="R1496" t="n">
        <v>0.0343</v>
      </c>
      <c r="S1496">
        <f>IMAGE("https://mitra.stanford.edu/kundaje/oak/projects/neuro-variants/variant_position/credible/roussos_2024/variant_figures/roussos_2024.adolescence.Astrocyte/rs3114896_count_position.png",4,220,900)</f>
        <v/>
      </c>
      <c r="T1496">
        <f>IMAGE("https://mitra.stanford.edu/kundaje/oak/projects/neuro-variants/variant_position/credible/roussos_2024/variant_figures/roussos_2024.adolescence.Astrocyte/rs3114896_profile_position.png",4,220,900)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-0.0034627803999999</v>
      </c>
      <c r="G1497" t="n">
        <v>0.3948808759145911</v>
      </c>
      <c r="H1497" t="n">
        <v>0.0166098096750361</v>
      </c>
      <c r="I1497" t="n">
        <v>0.2458172256244936</v>
      </c>
      <c r="J1497" t="n">
        <v>0.1547829570067946</v>
      </c>
      <c r="K1497" t="n">
        <v>0.2511549586634266</v>
      </c>
      <c r="L1497" t="b">
        <v>0</v>
      </c>
      <c r="M1497" t="b">
        <v>0</v>
      </c>
      <c r="N1497" t="inlineStr">
        <is>
          <t>ref</t>
        </is>
      </c>
      <c r="O1497" t="n">
        <v>-70</v>
      </c>
      <c r="P1497" t="n">
        <v>0.002346</v>
      </c>
      <c r="Q1497" t="n">
        <v>-90</v>
      </c>
      <c r="R1497" t="n">
        <v>0.1023</v>
      </c>
      <c r="S1497">
        <f>IMAGE("https://mitra.stanford.edu/kundaje/oak/projects/neuro-variants/variant_position/credible/roussos_2024/variant_figures/roussos_2024.adolescence.Astrocyte/rs3114881_count_position.png",4,220,900)</f>
        <v/>
      </c>
      <c r="T1497">
        <f>IMAGE("https://mitra.stanford.edu/kundaje/oak/projects/neuro-variants/variant_position/credible/roussos_2024/variant_figures/roussos_2024.adolescence.Astrocyte/rs3114881_profile_position.png",4,220,900)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-0.0011242883399999</v>
      </c>
      <c r="G1498" t="n">
        <v>0.6953639266161415</v>
      </c>
      <c r="H1498" t="n">
        <v>0.0467339765270659</v>
      </c>
      <c r="I1498" t="n">
        <v>0.0056272377787483</v>
      </c>
      <c r="J1498" t="n">
        <v>0.1369596178381746</v>
      </c>
      <c r="K1498" t="n">
        <v>0.2841785693698885</v>
      </c>
      <c r="L1498" t="b">
        <v>1</v>
      </c>
      <c r="M1498" t="b">
        <v>1</v>
      </c>
      <c r="N1498" t="inlineStr">
        <is>
          <t>ref</t>
        </is>
      </c>
      <c r="O1498" t="n">
        <v>-95</v>
      </c>
      <c r="P1498" t="n">
        <v>0.0969</v>
      </c>
      <c r="Q1498" t="n">
        <v>-100</v>
      </c>
      <c r="R1498" t="n">
        <v>0.03015</v>
      </c>
      <c r="S1498">
        <f>IMAGE("https://mitra.stanford.edu/kundaje/oak/projects/neuro-variants/variant_position/credible/roussos_2024/variant_figures/roussos_2024.adolescence.Astrocyte/rs369449674_count_position.png",4,220,900)</f>
        <v/>
      </c>
      <c r="T1498">
        <f>IMAGE("https://mitra.stanford.edu/kundaje/oak/projects/neuro-variants/variant_position/credible/roussos_2024/variant_figures/roussos_2024.adolescence.Astrocyte/rs369449674_profile_position.png",4,220,900)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0.0537680385999999</v>
      </c>
      <c r="G1499" t="n">
        <v>0.0721043723263213</v>
      </c>
      <c r="H1499" t="n">
        <v>0.0171181102841385</v>
      </c>
      <c r="I1499" t="n">
        <v>0.2309936541665689</v>
      </c>
      <c r="J1499" t="n">
        <v>0.3925874551226894</v>
      </c>
      <c r="K1499" t="n">
        <v>0.0905937304566187</v>
      </c>
      <c r="L1499" t="b">
        <v>0</v>
      </c>
      <c r="M1499" t="b">
        <v>0</v>
      </c>
      <c r="N1499" t="inlineStr">
        <is>
          <t>alt</t>
        </is>
      </c>
      <c r="O1499" t="n">
        <v>-70</v>
      </c>
      <c r="P1499" t="n">
        <v>0.00928</v>
      </c>
      <c r="Q1499" t="n">
        <v>-45</v>
      </c>
      <c r="R1499" t="n">
        <v>0.05127</v>
      </c>
      <c r="S1499">
        <f>IMAGE("https://mitra.stanford.edu/kundaje/oak/projects/neuro-variants/variant_position/credible/roussos_2024/variant_figures/roussos_2024.adolescence.Astrocyte/rs4785573_count_position.png",4,220,900)</f>
        <v/>
      </c>
      <c r="T1499">
        <f>IMAGE("https://mitra.stanford.edu/kundaje/oak/projects/neuro-variants/variant_position/credible/roussos_2024/variant_figures/roussos_2024.adolescence.Astrocyte/rs4785573_profile_position.png",4,220,900)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-0.1107601448</v>
      </c>
      <c r="G1500" t="n">
        <v>0.068560974614815</v>
      </c>
      <c r="H1500" t="n">
        <v>0.0215951441314428</v>
      </c>
      <c r="I1500" t="n">
        <v>0.112254719690916</v>
      </c>
      <c r="J1500" t="n">
        <v>0.5454425422069252</v>
      </c>
      <c r="K1500" t="n">
        <v>0.0438888015407218</v>
      </c>
      <c r="L1500" t="b">
        <v>0</v>
      </c>
      <c r="M1500" t="b">
        <v>0</v>
      </c>
      <c r="N1500" t="inlineStr">
        <is>
          <t>ref</t>
        </is>
      </c>
      <c r="O1500" t="n">
        <v>100</v>
      </c>
      <c r="P1500" t="n">
        <v>0.011475</v>
      </c>
      <c r="Q1500" t="n">
        <v>100</v>
      </c>
      <c r="R1500" t="n">
        <v>0.3652</v>
      </c>
      <c r="S1500">
        <f>IMAGE("https://mitra.stanford.edu/kundaje/oak/projects/neuro-variants/variant_position/credible/roussos_2024/variant_figures/roussos_2024.adolescence.Astrocyte/rs34607811_count_position.png",4,220,900)</f>
        <v/>
      </c>
      <c r="T1500">
        <f>IMAGE("https://mitra.stanford.edu/kundaje/oak/projects/neuro-variants/variant_position/credible/roussos_2024/variant_figures/roussos_2024.adolescence.Astrocyte/rs34607811_profile_position.png",4,220,900)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-0.0229053338</v>
      </c>
      <c r="G1501" t="n">
        <v>0.4981530126472643</v>
      </c>
      <c r="H1501" t="n">
        <v>0.0131592414631984</v>
      </c>
      <c r="I1501" t="n">
        <v>0.4519744547470249</v>
      </c>
      <c r="J1501" t="n">
        <v>0.2215833902026525</v>
      </c>
      <c r="K1501" t="n">
        <v>0.1875008563469539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0.04968</v>
      </c>
      <c r="Q1501" t="n">
        <v>30</v>
      </c>
      <c r="R1501" t="n">
        <v>0.04553</v>
      </c>
      <c r="S1501">
        <f>IMAGE("https://mitra.stanford.edu/kundaje/oak/projects/neuro-variants/variant_position/credible/roussos_2024/variant_figures/roussos_2024.adolescence.Astrocyte/rs72805595_count_position.png",4,220,900)</f>
        <v/>
      </c>
      <c r="T1501">
        <f>IMAGE("https://mitra.stanford.edu/kundaje/oak/projects/neuro-variants/variant_position/credible/roussos_2024/variant_figures/roussos_2024.adolescence.Astrocyte/rs72805595_profile_position.png",4,220,900)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0.02354123016</v>
      </c>
      <c r="G1502" t="n">
        <v>0.447178830563166</v>
      </c>
      <c r="H1502" t="n">
        <v>0.0124646776298457</v>
      </c>
      <c r="I1502" t="n">
        <v>0.5166783723861225</v>
      </c>
      <c r="J1502" t="n">
        <v>0.088558881998635</v>
      </c>
      <c r="K1502" t="n">
        <v>0.347653525106068</v>
      </c>
      <c r="L1502" t="b">
        <v>0</v>
      </c>
      <c r="M1502" t="b">
        <v>0</v>
      </c>
      <c r="N1502" t="inlineStr">
        <is>
          <t>alt</t>
        </is>
      </c>
      <c r="O1502" t="n">
        <v>-80</v>
      </c>
      <c r="P1502" t="n">
        <v>0.0327</v>
      </c>
      <c r="Q1502" t="n">
        <v>-80</v>
      </c>
      <c r="R1502" t="n">
        <v>0.0796</v>
      </c>
      <c r="S1502">
        <f>IMAGE("https://mitra.stanford.edu/kundaje/oak/projects/neuro-variants/variant_position/credible/roussos_2024/variant_figures/roussos_2024.adolescence.Astrocyte/rs467357_count_position.png",4,220,900)</f>
        <v/>
      </c>
      <c r="T1502">
        <f>IMAGE("https://mitra.stanford.edu/kundaje/oak/projects/neuro-variants/variant_position/credible/roussos_2024/variant_figures/roussos_2024.adolescence.Astrocyte/rs467357_profile_position.png",4,220,900)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-0.06557876159999999</v>
      </c>
      <c r="G1503" t="n">
        <v>0.1584014058910219</v>
      </c>
      <c r="H1503" t="n">
        <v>0.0154504141805765</v>
      </c>
      <c r="I1503" t="n">
        <v>0.2981059241524801</v>
      </c>
      <c r="J1503" t="n">
        <v>0.2479319348425956</v>
      </c>
      <c r="K1503" t="n">
        <v>0.1671643835091252</v>
      </c>
      <c r="L1503" t="b">
        <v>0</v>
      </c>
      <c r="M1503" t="b">
        <v>0</v>
      </c>
      <c r="N1503" t="inlineStr">
        <is>
          <t>ref</t>
        </is>
      </c>
      <c r="O1503" t="n">
        <v>0</v>
      </c>
      <c r="P1503" t="n">
        <v>0</v>
      </c>
      <c r="Q1503" t="n">
        <v>-45</v>
      </c>
      <c r="R1503" t="n">
        <v>0.01416</v>
      </c>
      <c r="S1503">
        <f>IMAGE("https://mitra.stanford.edu/kundaje/oak/projects/neuro-variants/variant_position/credible/roussos_2024/variant_figures/roussos_2024.adolescence.Astrocyte/rs1230_count_position.png",4,220,900)</f>
        <v/>
      </c>
      <c r="T1503">
        <f>IMAGE("https://mitra.stanford.edu/kundaje/oak/projects/neuro-variants/variant_position/credible/roussos_2024/variant_figures/roussos_2024.adolescence.Astrocyte/rs1230_profile_position.png",4,220,900)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-0.0322234534</v>
      </c>
      <c r="G1504" t="n">
        <v>0.3856243853703464</v>
      </c>
      <c r="H1504" t="n">
        <v>0.0180814874447073</v>
      </c>
      <c r="I1504" t="n">
        <v>0.1880144827255693</v>
      </c>
      <c r="J1504" t="n">
        <v>0.4180748004628667</v>
      </c>
      <c r="K1504" t="n">
        <v>0.08110037605245531</v>
      </c>
      <c r="L1504" t="b">
        <v>0</v>
      </c>
      <c r="M1504" t="b">
        <v>0</v>
      </c>
      <c r="N1504" t="inlineStr">
        <is>
          <t>ref</t>
        </is>
      </c>
      <c r="O1504" t="n">
        <v>65</v>
      </c>
      <c r="P1504" t="n">
        <v>0.005615</v>
      </c>
      <c r="Q1504" t="n">
        <v>-95</v>
      </c>
      <c r="R1504" t="n">
        <v>0.1555</v>
      </c>
      <c r="S1504">
        <f>IMAGE("https://mitra.stanford.edu/kundaje/oak/projects/neuro-variants/variant_position/credible/roussos_2024/variant_figures/roussos_2024.adolescence.Astrocyte/rs12102297_count_position.png",4,220,900)</f>
        <v/>
      </c>
      <c r="T1504">
        <f>IMAGE("https://mitra.stanford.edu/kundaje/oak/projects/neuro-variants/variant_position/credible/roussos_2024/variant_figures/roussos_2024.adolescence.Astrocyte/rs12102297_profile_position.png",4,220,900)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-0.00507979048</v>
      </c>
      <c r="G1505" t="n">
        <v>0.4986027753921304</v>
      </c>
      <c r="H1505" t="n">
        <v>0.0441202731169613</v>
      </c>
      <c r="I1505" t="n">
        <v>0.0064619309713598</v>
      </c>
      <c r="J1505" t="n">
        <v>0.0104627184523632</v>
      </c>
      <c r="K1505" t="n">
        <v>0.6902435075141933</v>
      </c>
      <c r="L1505" t="b">
        <v>1</v>
      </c>
      <c r="M1505" t="b">
        <v>0</v>
      </c>
      <c r="N1505" t="inlineStr">
        <is>
          <t>ref</t>
        </is>
      </c>
      <c r="O1505" t="n">
        <v>-100</v>
      </c>
      <c r="P1505" t="n">
        <v>0.1116</v>
      </c>
      <c r="Q1505" t="n">
        <v>100</v>
      </c>
      <c r="R1505" t="n">
        <v>0.1904</v>
      </c>
      <c r="S1505">
        <f>IMAGE("https://mitra.stanford.edu/kundaje/oak/projects/neuro-variants/variant_position/credible/roussos_2024/variant_figures/roussos_2024.adolescence.Astrocyte/rs12447465_count_position.png",4,220,900)</f>
        <v/>
      </c>
      <c r="T1505">
        <f>IMAGE("https://mitra.stanford.edu/kundaje/oak/projects/neuro-variants/variant_position/credible/roussos_2024/variant_figures/roussos_2024.adolescence.Astrocyte/rs12447465_profile_position.png",4,220,900)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-0.0170079853</v>
      </c>
      <c r="G1506" t="n">
        <v>0.589066862705569</v>
      </c>
      <c r="H1506" t="n">
        <v>0.0111055749194563</v>
      </c>
      <c r="I1506" t="n">
        <v>0.6335648590964637</v>
      </c>
      <c r="J1506" t="n">
        <v>0.182988903065009</v>
      </c>
      <c r="K1506" t="n">
        <v>0.2219487784531898</v>
      </c>
      <c r="L1506" t="b">
        <v>0</v>
      </c>
      <c r="M1506" t="b">
        <v>0</v>
      </c>
      <c r="N1506" t="inlineStr">
        <is>
          <t>ref</t>
        </is>
      </c>
      <c r="O1506" t="n">
        <v>-90</v>
      </c>
      <c r="P1506" t="n">
        <v>0.00618</v>
      </c>
      <c r="Q1506" t="n">
        <v>100</v>
      </c>
      <c r="R1506" t="n">
        <v>0.2612</v>
      </c>
      <c r="S1506">
        <f>IMAGE("https://mitra.stanford.edu/kundaje/oak/projects/neuro-variants/variant_position/credible/roussos_2024/variant_figures/roussos_2024.adolescence.Astrocyte/rs4785595_count_position.png",4,220,900)</f>
        <v/>
      </c>
      <c r="T1506">
        <f>IMAGE("https://mitra.stanford.edu/kundaje/oak/projects/neuro-variants/variant_position/credible/roussos_2024/variant_figures/roussos_2024.adolescence.Astrocyte/rs4785595_profile_position.png",4,220,900)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0.0456862148</v>
      </c>
      <c r="G1507" t="n">
        <v>0.2536790996398563</v>
      </c>
      <c r="H1507" t="n">
        <v>0.0177592244098059</v>
      </c>
      <c r="I1507" t="n">
        <v>0.2054720640759311</v>
      </c>
      <c r="J1507" t="n">
        <v>0.2238228050915348</v>
      </c>
      <c r="K1507" t="n">
        <v>0.1871709706248704</v>
      </c>
      <c r="L1507" t="b">
        <v>0</v>
      </c>
      <c r="M1507" t="b">
        <v>0</v>
      </c>
      <c r="N1507" t="inlineStr">
        <is>
          <t>alt</t>
        </is>
      </c>
      <c r="O1507" t="n">
        <v>-100</v>
      </c>
      <c r="P1507" t="n">
        <v>0.001171</v>
      </c>
      <c r="Q1507" t="n">
        <v>75</v>
      </c>
      <c r="R1507" t="n">
        <v>0.003937</v>
      </c>
      <c r="S1507">
        <f>IMAGE("https://mitra.stanford.edu/kundaje/oak/projects/neuro-variants/variant_position/credible/roussos_2024/variant_figures/roussos_2024.adolescence.Astrocyte/rs886952_count_position.png",4,220,900)</f>
        <v/>
      </c>
      <c r="T1507">
        <f>IMAGE("https://mitra.stanford.edu/kundaje/oak/projects/neuro-variants/variant_position/credible/roussos_2024/variant_figures/roussos_2024.adolescence.Astrocyte/rs886952_profile_position.png",4,220,900)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-0.038774529</v>
      </c>
      <c r="G1508" t="n">
        <v>0.3242203317365716</v>
      </c>
      <c r="H1508" t="n">
        <v>0.0132504532050226</v>
      </c>
      <c r="I1508" t="n">
        <v>0.4431726860103246</v>
      </c>
      <c r="J1508" t="n">
        <v>0.0384364893332937</v>
      </c>
      <c r="K1508" t="n">
        <v>0.4884452921454002</v>
      </c>
      <c r="L1508" t="b">
        <v>0</v>
      </c>
      <c r="M1508" t="b">
        <v>0</v>
      </c>
      <c r="N1508" t="inlineStr">
        <is>
          <t>ref</t>
        </is>
      </c>
      <c r="O1508" t="n">
        <v>70</v>
      </c>
      <c r="P1508" t="n">
        <v>0.06113</v>
      </c>
      <c r="Q1508" t="n">
        <v>15</v>
      </c>
      <c r="R1508" t="n">
        <v>0.01123</v>
      </c>
      <c r="S1508">
        <f>IMAGE("https://mitra.stanford.edu/kundaje/oak/projects/neuro-variants/variant_position/credible/roussos_2024/variant_figures/roussos_2024.adolescence.Astrocyte/rs4785721_count_position.png",4,220,900)</f>
        <v/>
      </c>
      <c r="T1508">
        <f>IMAGE("https://mitra.stanford.edu/kundaje/oak/projects/neuro-variants/variant_position/credible/roussos_2024/variant_figures/roussos_2024.adolescence.Astrocyte/rs4785721_profile_position.png",4,220,900)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0.00278693296</v>
      </c>
      <c r="G1509" t="n">
        <v>0.7379252138423342</v>
      </c>
      <c r="H1509" t="n">
        <v>0.0212026848457071</v>
      </c>
      <c r="I1509" t="n">
        <v>0.1145194098718287</v>
      </c>
      <c r="J1509" t="n">
        <v>0.0499592024448861</v>
      </c>
      <c r="K1509" t="n">
        <v>0.4383360542746255</v>
      </c>
      <c r="L1509" t="b">
        <v>0</v>
      </c>
      <c r="M1509" t="b">
        <v>0</v>
      </c>
      <c r="N1509" t="inlineStr">
        <is>
          <t>alt</t>
        </is>
      </c>
      <c r="O1509" t="n">
        <v>85</v>
      </c>
      <c r="P1509" t="n">
        <v>0.09546</v>
      </c>
      <c r="Q1509" t="n">
        <v>100</v>
      </c>
      <c r="R1509" t="n">
        <v>0.1533</v>
      </c>
      <c r="S1509">
        <f>IMAGE("https://mitra.stanford.edu/kundaje/oak/projects/neuro-variants/variant_position/credible/roussos_2024/variant_figures/roussos_2024.adolescence.Astrocyte/rs1558184_count_position.png",4,220,900)</f>
        <v/>
      </c>
      <c r="T1509">
        <f>IMAGE("https://mitra.stanford.edu/kundaje/oak/projects/neuro-variants/variant_position/credible/roussos_2024/variant_figures/roussos_2024.adolescence.Astrocyte/rs1558184_profile_position.png",4,220,900)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0.037659218846</v>
      </c>
      <c r="G1510" t="n">
        <v>0.3202090757467344</v>
      </c>
      <c r="H1510" t="n">
        <v>0.0186156398024971</v>
      </c>
      <c r="I1510" t="n">
        <v>0.1719166021893795</v>
      </c>
      <c r="J1510" t="n">
        <v>0.1437105005489125</v>
      </c>
      <c r="K1510" t="n">
        <v>0.268596025863612</v>
      </c>
      <c r="L1510" t="b">
        <v>0</v>
      </c>
      <c r="M1510" t="b">
        <v>0</v>
      </c>
      <c r="N1510" t="inlineStr">
        <is>
          <t>alt</t>
        </is>
      </c>
      <c r="O1510" t="n">
        <v>70</v>
      </c>
      <c r="P1510" t="n">
        <v>0.00783</v>
      </c>
      <c r="Q1510" t="n">
        <v>-95</v>
      </c>
      <c r="R1510" t="n">
        <v>0.2072</v>
      </c>
      <c r="S1510">
        <f>IMAGE("https://mitra.stanford.edu/kundaje/oak/projects/neuro-variants/variant_position/credible/roussos_2024/variant_figures/roussos_2024.adolescence.Astrocyte/rs17232672_count_position.png",4,220,900)</f>
        <v/>
      </c>
      <c r="T1510">
        <f>IMAGE("https://mitra.stanford.edu/kundaje/oak/projects/neuro-variants/variant_position/credible/roussos_2024/variant_figures/roussos_2024.adolescence.Astrocyte/rs17232672_profile_position.png",4,220,900)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0.053852839</v>
      </c>
      <c r="G1511" t="n">
        <v>0.2174387050042751</v>
      </c>
      <c r="H1511" t="n">
        <v>0.0110351287902</v>
      </c>
      <c r="I1511" t="n">
        <v>0.6091401181016385</v>
      </c>
      <c r="J1511" t="n">
        <v>0.1450991009702399</v>
      </c>
      <c r="K1511" t="n">
        <v>0.2606550315784071</v>
      </c>
      <c r="L1511" t="b">
        <v>0</v>
      </c>
      <c r="M1511" t="b">
        <v>0</v>
      </c>
      <c r="N1511" t="inlineStr">
        <is>
          <t>alt</t>
        </is>
      </c>
      <c r="O1511" t="n">
        <v>-5</v>
      </c>
      <c r="P1511" t="n">
        <v>0.001648</v>
      </c>
      <c r="Q1511" t="n">
        <v>15</v>
      </c>
      <c r="R1511" t="n">
        <v>0.04175</v>
      </c>
      <c r="S1511">
        <f>IMAGE("https://mitra.stanford.edu/kundaje/oak/projects/neuro-variants/variant_position/credible/roussos_2024/variant_figures/roussos_2024.adolescence.Astrocyte/rs8045232_count_position.png",4,220,900)</f>
        <v/>
      </c>
      <c r="T1511">
        <f>IMAGE("https://mitra.stanford.edu/kundaje/oak/projects/neuro-variants/variant_position/credible/roussos_2024/variant_figures/roussos_2024.adolescence.Astrocyte/rs8045232_profile_position.png",4,220,900)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0.083907343</v>
      </c>
      <c r="G1512" t="n">
        <v>0.1041466545408299</v>
      </c>
      <c r="H1512" t="n">
        <v>0.015755428859203</v>
      </c>
      <c r="I1512" t="n">
        <v>0.2856619222114134</v>
      </c>
      <c r="J1512" t="n">
        <v>0.0535419695576061</v>
      </c>
      <c r="K1512" t="n">
        <v>0.440796287254865</v>
      </c>
      <c r="L1512" t="b">
        <v>0</v>
      </c>
      <c r="M1512" t="b">
        <v>0</v>
      </c>
      <c r="N1512" t="inlineStr">
        <is>
          <t>alt</t>
        </is>
      </c>
      <c r="O1512" t="n">
        <v>25</v>
      </c>
      <c r="P1512" t="n">
        <v>0.002197</v>
      </c>
      <c r="Q1512" t="n">
        <v>-90</v>
      </c>
      <c r="R1512" t="n">
        <v>0.03998</v>
      </c>
      <c r="S1512">
        <f>IMAGE("https://mitra.stanford.edu/kundaje/oak/projects/neuro-variants/variant_position/credible/roussos_2024/variant_figures/roussos_2024.adolescence.Astrocyte/rs9938865_count_position.png",4,220,900)</f>
        <v/>
      </c>
      <c r="T1512">
        <f>IMAGE("https://mitra.stanford.edu/kundaje/oak/projects/neuro-variants/variant_position/credible/roussos_2024/variant_figures/roussos_2024.adolescence.Astrocyte/rs9938865_profile_position.png",4,220,900)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0.203719026</v>
      </c>
      <c r="G1513" t="n">
        <v>0.016485245993278</v>
      </c>
      <c r="H1513" t="n">
        <v>0.0262354872565697</v>
      </c>
      <c r="I1513" t="n">
        <v>0.0531499973819891</v>
      </c>
      <c r="J1513" t="n">
        <v>0.1131991217399044</v>
      </c>
      <c r="K1513" t="n">
        <v>0.310805372832297</v>
      </c>
      <c r="L1513" t="b">
        <v>1</v>
      </c>
      <c r="M1513" t="b">
        <v>0</v>
      </c>
      <c r="N1513" t="inlineStr">
        <is>
          <t>alt</t>
        </is>
      </c>
      <c r="O1513" t="n">
        <v>65</v>
      </c>
      <c r="P1513" t="n">
        <v>0.02379</v>
      </c>
      <c r="Q1513" t="n">
        <v>-90</v>
      </c>
      <c r="R1513" t="n">
        <v>0.0953</v>
      </c>
      <c r="S1513">
        <f>IMAGE("https://mitra.stanford.edu/kundaje/oak/projects/neuro-variants/variant_position/credible/roussos_2024/variant_figures/roussos_2024.adolescence.Astrocyte/rs9940552_count_position.png",4,220,900)</f>
        <v/>
      </c>
      <c r="T1513">
        <f>IMAGE("https://mitra.stanford.edu/kundaje/oak/projects/neuro-variants/variant_position/credible/roussos_2024/variant_figures/roussos_2024.adolescence.Astrocyte/rs9940552_profile_position.png",4,220,900)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0.0030185445999999</v>
      </c>
      <c r="G1514" t="n">
        <v>0.334621153578038</v>
      </c>
      <c r="H1514" t="n">
        <v>0.0303485368081515</v>
      </c>
      <c r="I1514" t="n">
        <v>0.0317441128490568</v>
      </c>
      <c r="J1514" t="n">
        <v>0.0800514790968162</v>
      </c>
      <c r="K1514" t="n">
        <v>0.3691188941343452</v>
      </c>
      <c r="L1514" t="b">
        <v>0</v>
      </c>
      <c r="M1514" t="b">
        <v>0</v>
      </c>
      <c r="N1514" t="inlineStr">
        <is>
          <t>alt</t>
        </is>
      </c>
      <c r="O1514" t="n">
        <v>100</v>
      </c>
      <c r="P1514" t="n">
        <v>0.034</v>
      </c>
      <c r="Q1514" t="n">
        <v>-85</v>
      </c>
      <c r="R1514" t="n">
        <v>0.11884</v>
      </c>
      <c r="S1514">
        <f>IMAGE("https://mitra.stanford.edu/kundaje/oak/projects/neuro-variants/variant_position/credible/roussos_2024/variant_figures/roussos_2024.adolescence.Astrocyte/rs9927381_count_position.png",4,220,900)</f>
        <v/>
      </c>
      <c r="T1514">
        <f>IMAGE("https://mitra.stanford.edu/kundaje/oak/projects/neuro-variants/variant_position/credible/roussos_2024/variant_figures/roussos_2024.adolescence.Astrocyte/rs9927381_profile_position.png",4,220,900)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-0.120404094</v>
      </c>
      <c r="G1515" t="n">
        <v>0.0579212674248142</v>
      </c>
      <c r="H1515" t="n">
        <v>0.0217785388212707</v>
      </c>
      <c r="I1515" t="n">
        <v>0.1036899839959507</v>
      </c>
      <c r="J1515" t="n">
        <v>0.3926549565320594</v>
      </c>
      <c r="K1515" t="n">
        <v>0.09145395547326821</v>
      </c>
      <c r="L1515" t="b">
        <v>0</v>
      </c>
      <c r="M1515" t="b">
        <v>0</v>
      </c>
      <c r="N1515" t="inlineStr">
        <is>
          <t>ref</t>
        </is>
      </c>
      <c r="O1515" t="n">
        <v>-80</v>
      </c>
      <c r="P1515" t="n">
        <v>0.01114</v>
      </c>
      <c r="Q1515" t="n">
        <v>0</v>
      </c>
      <c r="R1515" t="n">
        <v>0</v>
      </c>
      <c r="S1515">
        <f>IMAGE("https://mitra.stanford.edu/kundaje/oak/projects/neuro-variants/variant_position/credible/roussos_2024/variant_figures/roussos_2024.adolescence.Astrocyte/rs75329315_count_position.png",4,220,900)</f>
        <v/>
      </c>
      <c r="T1515">
        <f>IMAGE("https://mitra.stanford.edu/kundaje/oak/projects/neuro-variants/variant_position/credible/roussos_2024/variant_figures/roussos_2024.adolescence.Astrocyte/rs75329315_profile_position.png",4,220,900)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0.0078187089</v>
      </c>
      <c r="G1516" t="n">
        <v>0.4531689813681245</v>
      </c>
      <c r="H1516" t="n">
        <v>0.0276445710028148</v>
      </c>
      <c r="I1516" t="n">
        <v>0.0431171502757925</v>
      </c>
      <c r="J1516" t="n">
        <v>0.1090518648191555</v>
      </c>
      <c r="K1516" t="n">
        <v>0.320679536822515</v>
      </c>
      <c r="L1516" t="b">
        <v>0</v>
      </c>
      <c r="M1516" t="b">
        <v>0</v>
      </c>
      <c r="N1516" t="inlineStr">
        <is>
          <t>alt</t>
        </is>
      </c>
      <c r="O1516" t="n">
        <v>100</v>
      </c>
      <c r="P1516" t="n">
        <v>0.01115</v>
      </c>
      <c r="Q1516" t="n">
        <v>-65</v>
      </c>
      <c r="R1516" t="n">
        <v>0.0842</v>
      </c>
      <c r="S1516">
        <f>IMAGE("https://mitra.stanford.edu/kundaje/oak/projects/neuro-variants/variant_position/credible/roussos_2024/variant_figures/roussos_2024.adolescence.Astrocyte/rs7225625_count_position.png",4,220,900)</f>
        <v/>
      </c>
      <c r="T1516">
        <f>IMAGE("https://mitra.stanford.edu/kundaje/oak/projects/neuro-variants/variant_position/credible/roussos_2024/variant_figures/roussos_2024.adolescence.Astrocyte/rs7225625_profile_position.png",4,220,900)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0.108935148</v>
      </c>
      <c r="G1517" t="n">
        <v>0.0670822760991697</v>
      </c>
      <c r="H1517" t="n">
        <v>0.0119483352739623</v>
      </c>
      <c r="I1517" t="n">
        <v>0.5491858606068807</v>
      </c>
      <c r="J1517" t="n">
        <v>0.1255793252826157</v>
      </c>
      <c r="K1517" t="n">
        <v>0.2966759910733808</v>
      </c>
      <c r="L1517" t="b">
        <v>0</v>
      </c>
      <c r="M1517" t="b">
        <v>0</v>
      </c>
      <c r="N1517" t="inlineStr">
        <is>
          <t>alt</t>
        </is>
      </c>
      <c r="O1517" t="n">
        <v>100</v>
      </c>
      <c r="P1517" t="n">
        <v>0.005844</v>
      </c>
      <c r="Q1517" t="n">
        <v>-80</v>
      </c>
      <c r="R1517" t="n">
        <v>0.1432</v>
      </c>
      <c r="S1517">
        <f>IMAGE("https://mitra.stanford.edu/kundaje/oak/projects/neuro-variants/variant_position/credible/roussos_2024/variant_figures/roussos_2024.adolescence.Astrocyte/rs9906314_count_position.png",4,220,900)</f>
        <v/>
      </c>
      <c r="T1517">
        <f>IMAGE("https://mitra.stanford.edu/kundaje/oak/projects/neuro-variants/variant_position/credible/roussos_2024/variant_figures/roussos_2024.adolescence.Astrocyte/rs9906314_profile_position.png",4,220,900)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-0.05808400968</v>
      </c>
      <c r="G1518" t="n">
        <v>0.1950549546429292</v>
      </c>
      <c r="H1518" t="n">
        <v>0.0165576383463272</v>
      </c>
      <c r="I1518" t="n">
        <v>0.2475800061169182</v>
      </c>
      <c r="J1518" t="n">
        <v>0.09686600599353171</v>
      </c>
      <c r="K1518" t="n">
        <v>0.3405627355520385</v>
      </c>
      <c r="L1518" t="b">
        <v>0</v>
      </c>
      <c r="M1518" t="b">
        <v>0</v>
      </c>
      <c r="N1518" t="inlineStr">
        <is>
          <t>ref</t>
        </is>
      </c>
      <c r="O1518" t="n">
        <v>-85</v>
      </c>
      <c r="P1518" t="n">
        <v>0.007122</v>
      </c>
      <c r="Q1518" t="n">
        <v>60</v>
      </c>
      <c r="R1518" t="n">
        <v>0.1136</v>
      </c>
      <c r="S1518">
        <f>IMAGE("https://mitra.stanford.edu/kundaje/oak/projects/neuro-variants/variant_position/credible/roussos_2024/variant_figures/roussos_2024.adolescence.Astrocyte/rs59539549_count_position.png",4,220,900)</f>
        <v/>
      </c>
      <c r="T1518">
        <f>IMAGE("https://mitra.stanford.edu/kundaje/oak/projects/neuro-variants/variant_position/credible/roussos_2024/variant_figures/roussos_2024.adolescence.Astrocyte/rs59539549_profile_position.png",4,220,900)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0.0116988645999999</v>
      </c>
      <c r="G1519" t="n">
        <v>0.694565071696995</v>
      </c>
      <c r="H1519" t="n">
        <v>0.0214347487131982</v>
      </c>
      <c r="I1519" t="n">
        <v>0.1123297786460877</v>
      </c>
      <c r="J1519" t="n">
        <v>0.0992322641901313</v>
      </c>
      <c r="K1519" t="n">
        <v>0.3304071393094804</v>
      </c>
      <c r="L1519" t="b">
        <v>0</v>
      </c>
      <c r="M1519" t="b">
        <v>0</v>
      </c>
      <c r="N1519" t="inlineStr">
        <is>
          <t>alt</t>
        </is>
      </c>
      <c r="O1519" t="n">
        <v>-100</v>
      </c>
      <c r="P1519" t="n">
        <v>0.009860000000000001</v>
      </c>
      <c r="Q1519" t="n">
        <v>50</v>
      </c>
      <c r="R1519" t="n">
        <v>0.09875</v>
      </c>
      <c r="S1519">
        <f>IMAGE("https://mitra.stanford.edu/kundaje/oak/projects/neuro-variants/variant_position/credible/roussos_2024/variant_figures/roussos_2024.adolescence.Astrocyte/rs73292184_count_position.png",4,220,900)</f>
        <v/>
      </c>
      <c r="T1519">
        <f>IMAGE("https://mitra.stanford.edu/kundaje/oak/projects/neuro-variants/variant_position/credible/roussos_2024/variant_figures/roussos_2024.adolescence.Astrocyte/rs73292184_profile_position.png",4,220,900)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0.195325252</v>
      </c>
      <c r="G1520" t="n">
        <v>0.0204569836191327</v>
      </c>
      <c r="H1520" t="n">
        <v>0.0246360529440278</v>
      </c>
      <c r="I1520" t="n">
        <v>0.0677436722976336</v>
      </c>
      <c r="J1520" t="n">
        <v>0.3038282942171319</v>
      </c>
      <c r="K1520" t="n">
        <v>0.1325403674181326</v>
      </c>
      <c r="L1520" t="b">
        <v>0</v>
      </c>
      <c r="M1520" t="b">
        <v>0</v>
      </c>
      <c r="N1520" t="inlineStr">
        <is>
          <t>alt</t>
        </is>
      </c>
      <c r="O1520" t="n">
        <v>-100</v>
      </c>
      <c r="P1520" t="n">
        <v>0.03754</v>
      </c>
      <c r="Q1520" t="n">
        <v>50</v>
      </c>
      <c r="R1520" t="n">
        <v>0.04565</v>
      </c>
      <c r="S1520">
        <f>IMAGE("https://mitra.stanford.edu/kundaje/oak/projects/neuro-variants/variant_position/credible/roussos_2024/variant_figures/roussos_2024.adolescence.Astrocyte/rs12449566_count_position.png",4,220,900)</f>
        <v/>
      </c>
      <c r="T1520">
        <f>IMAGE("https://mitra.stanford.edu/kundaje/oak/projects/neuro-variants/variant_position/credible/roussos_2024/variant_figures/roussos_2024.adolescence.Astrocyte/rs12449566_profile_position.png",4,220,900)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-0.07300894419999999</v>
      </c>
      <c r="G1521" t="n">
        <v>0.1409711230277497</v>
      </c>
      <c r="H1521" t="n">
        <v>0.0148790027714814</v>
      </c>
      <c r="I1521" t="n">
        <v>0.3415339480230895</v>
      </c>
      <c r="J1521" t="n">
        <v>0.2509190576506542</v>
      </c>
      <c r="K1521" t="n">
        <v>0.1651862753420213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0.03375</v>
      </c>
      <c r="Q1521" t="n">
        <v>35</v>
      </c>
      <c r="R1521" t="n">
        <v>0.05313</v>
      </c>
      <c r="S1521">
        <f>IMAGE("https://mitra.stanford.edu/kundaje/oak/projects/neuro-variants/variant_position/credible/roussos_2024/variant_figures/roussos_2024.adolescence.Astrocyte/rs12450430_count_position.png",4,220,900)</f>
        <v/>
      </c>
      <c r="T1521">
        <f>IMAGE("https://mitra.stanford.edu/kundaje/oak/projects/neuro-variants/variant_position/credible/roussos_2024/variant_figures/roussos_2024.adolescence.Astrocyte/rs12450430_profile_position.png",4,220,900)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0.0633324284</v>
      </c>
      <c r="G1522" t="n">
        <v>0.1743489508128415</v>
      </c>
      <c r="H1522" t="n">
        <v>0.0145301704761808</v>
      </c>
      <c r="I1522" t="n">
        <v>0.3503583166037312</v>
      </c>
      <c r="J1522" t="n">
        <v>0.5424138800700233</v>
      </c>
      <c r="K1522" t="n">
        <v>0.0460028061442528</v>
      </c>
      <c r="L1522" t="b">
        <v>0</v>
      </c>
      <c r="M1522" t="b">
        <v>0</v>
      </c>
      <c r="N1522" t="inlineStr">
        <is>
          <t>alt</t>
        </is>
      </c>
      <c r="O1522" t="n">
        <v>20</v>
      </c>
      <c r="P1522" t="n">
        <v>0.0007553</v>
      </c>
      <c r="Q1522" t="n">
        <v>50</v>
      </c>
      <c r="R1522" t="n">
        <v>0.1255</v>
      </c>
      <c r="S1522">
        <f>IMAGE("https://mitra.stanford.edu/kundaje/oak/projects/neuro-variants/variant_position/credible/roussos_2024/variant_figures/roussos_2024.adolescence.Astrocyte/rs11078769_count_position.png",4,220,900)</f>
        <v/>
      </c>
      <c r="T1522">
        <f>IMAGE("https://mitra.stanford.edu/kundaje/oak/projects/neuro-variants/variant_position/credible/roussos_2024/variant_figures/roussos_2024.adolescence.Astrocyte/rs11078769_profile_position.png",4,220,900)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0.0186015627</v>
      </c>
      <c r="G1523" t="n">
        <v>0.5634492536324179</v>
      </c>
      <c r="H1523" t="n">
        <v>0.0108451956414404</v>
      </c>
      <c r="I1523" t="n">
        <v>0.6515690038102311</v>
      </c>
      <c r="J1523" t="n">
        <v>0.2829740675904221</v>
      </c>
      <c r="K1523" t="n">
        <v>0.1435742912755594</v>
      </c>
      <c r="L1523" t="b">
        <v>0</v>
      </c>
      <c r="M1523" t="b">
        <v>0</v>
      </c>
      <c r="N1523" t="inlineStr">
        <is>
          <t>alt</t>
        </is>
      </c>
      <c r="O1523" t="n">
        <v>-100</v>
      </c>
      <c r="P1523" t="n">
        <v>0.009599999999999999</v>
      </c>
      <c r="Q1523" t="n">
        <v>-100</v>
      </c>
      <c r="R1523" t="n">
        <v>0.0927</v>
      </c>
      <c r="S1523">
        <f>IMAGE("https://mitra.stanford.edu/kundaje/oak/projects/neuro-variants/variant_position/credible/roussos_2024/variant_figures/roussos_2024.adolescence.Astrocyte/rs4239070_count_position.png",4,220,900)</f>
        <v/>
      </c>
      <c r="T1523">
        <f>IMAGE("https://mitra.stanford.edu/kundaje/oak/projects/neuro-variants/variant_position/credible/roussos_2024/variant_figures/roussos_2024.adolescence.Astrocyte/rs4239070_profile_position.png",4,220,900)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0.308157518</v>
      </c>
      <c r="G1524" t="n">
        <v>0.0060032550739252</v>
      </c>
      <c r="H1524" t="n">
        <v>0.0273057100939323</v>
      </c>
      <c r="I1524" t="n">
        <v>0.0465908332624614</v>
      </c>
      <c r="J1524" t="n">
        <v>0.4443224638756194</v>
      </c>
      <c r="K1524" t="n">
        <v>0.0723327860685075</v>
      </c>
      <c r="L1524" t="b">
        <v>1</v>
      </c>
      <c r="M1524" t="b">
        <v>1</v>
      </c>
      <c r="N1524" t="inlineStr">
        <is>
          <t>alt</t>
        </is>
      </c>
      <c r="O1524" t="n">
        <v>-20</v>
      </c>
      <c r="P1524" t="n">
        <v>0.005806</v>
      </c>
      <c r="Q1524" t="n">
        <v>-90</v>
      </c>
      <c r="R1524" t="n">
        <v>0.2021</v>
      </c>
      <c r="S1524">
        <f>IMAGE("https://mitra.stanford.edu/kundaje/oak/projects/neuro-variants/variant_position/credible/roussos_2024/variant_figures/roussos_2024.adolescence.Astrocyte/rs4467122_count_position.png",4,220,900)</f>
        <v/>
      </c>
      <c r="T1524">
        <f>IMAGE("https://mitra.stanford.edu/kundaje/oak/projects/neuro-variants/variant_position/credible/roussos_2024/variant_figures/roussos_2024.adolescence.Astrocyte/rs4467122_profile_position.png",4,220,900)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0.00192811328</v>
      </c>
      <c r="G1525" t="n">
        <v>0.5536806387526045</v>
      </c>
      <c r="H1525" t="n">
        <v>0.0129991833829676</v>
      </c>
      <c r="I1525" t="n">
        <v>0.4657512134288377</v>
      </c>
      <c r="J1525" t="n">
        <v>0.8506987508530399</v>
      </c>
      <c r="K1525" t="n">
        <v>0.0041854845370434</v>
      </c>
      <c r="L1525" t="b">
        <v>0</v>
      </c>
      <c r="M1525" t="b">
        <v>0</v>
      </c>
      <c r="N1525" t="inlineStr">
        <is>
          <t>alt</t>
        </is>
      </c>
      <c r="O1525" t="n">
        <v>100</v>
      </c>
      <c r="P1525" t="n">
        <v>0.07416</v>
      </c>
      <c r="Q1525" t="n">
        <v>-55</v>
      </c>
      <c r="R1525" t="n">
        <v>0.0515</v>
      </c>
      <c r="S1525">
        <f>IMAGE("https://mitra.stanford.edu/kundaje/oak/projects/neuro-variants/variant_position/credible/roussos_2024/variant_figures/roussos_2024.adolescence.Astrocyte/rs4530175_count_position.png",4,220,900)</f>
        <v/>
      </c>
      <c r="T1525">
        <f>IMAGE("https://mitra.stanford.edu/kundaje/oak/projects/neuro-variants/variant_position/credible/roussos_2024/variant_figures/roussos_2024.adolescence.Astrocyte/rs4530175_profile_position.png",4,220,900)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-0.0137129556</v>
      </c>
      <c r="G1526" t="n">
        <v>0.2972577088076461</v>
      </c>
      <c r="H1526" t="n">
        <v>0.0129691450045957</v>
      </c>
      <c r="I1526" t="n">
        <v>0.4710445961152641</v>
      </c>
      <c r="J1526" t="n">
        <v>0.6516452541316797</v>
      </c>
      <c r="K1526" t="n">
        <v>0.0252067061177488</v>
      </c>
      <c r="L1526" t="b">
        <v>0</v>
      </c>
      <c r="M1526" t="b">
        <v>0</v>
      </c>
      <c r="N1526" t="inlineStr">
        <is>
          <t>ref</t>
        </is>
      </c>
      <c r="O1526" t="n">
        <v>10</v>
      </c>
      <c r="P1526" t="n">
        <v>0.0002136</v>
      </c>
      <c r="Q1526" t="n">
        <v>65</v>
      </c>
      <c r="R1526" t="n">
        <v>0.1863</v>
      </c>
      <c r="S1526">
        <f>IMAGE("https://mitra.stanford.edu/kundaje/oak/projects/neuro-variants/variant_position/credible/roussos_2024/variant_figures/roussos_2024.adolescence.Astrocyte/rs7207749_count_position.png",4,220,900)</f>
        <v/>
      </c>
      <c r="T1526">
        <f>IMAGE("https://mitra.stanford.edu/kundaje/oak/projects/neuro-variants/variant_position/credible/roussos_2024/variant_figures/roussos_2024.adolescence.Astrocyte/rs7207749_profile_position.png",4,220,900)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0.00545383872</v>
      </c>
      <c r="G1527" t="n">
        <v>0.7312781090857328</v>
      </c>
      <c r="H1527" t="n">
        <v>0.0123214070864405</v>
      </c>
      <c r="I1527" t="n">
        <v>0.5249048098744129</v>
      </c>
      <c r="J1527" t="n">
        <v>0.699365783461413</v>
      </c>
      <c r="K1527" t="n">
        <v>0.0185506674709029</v>
      </c>
      <c r="L1527" t="b">
        <v>0</v>
      </c>
      <c r="M1527" t="b">
        <v>0</v>
      </c>
      <c r="N1527" t="inlineStr">
        <is>
          <t>alt</t>
        </is>
      </c>
      <c r="O1527" t="n">
        <v>0</v>
      </c>
      <c r="P1527" t="n">
        <v>0</v>
      </c>
      <c r="Q1527" t="n">
        <v>-95</v>
      </c>
      <c r="R1527" t="n">
        <v>0.0989</v>
      </c>
      <c r="S1527">
        <f>IMAGE("https://mitra.stanford.edu/kundaje/oak/projects/neuro-variants/variant_position/credible/roussos_2024/variant_figures/roussos_2024.adolescence.Astrocyte/rs7222716_count_position.png",4,220,900)</f>
        <v/>
      </c>
      <c r="T1527">
        <f>IMAGE("https://mitra.stanford.edu/kundaje/oak/projects/neuro-variants/variant_position/credible/roussos_2024/variant_figures/roussos_2024.adolescence.Astrocyte/rs7222716_profile_position.png",4,220,900)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0.0149464645999999</v>
      </c>
      <c r="G1528" t="n">
        <v>0.5621800737254533</v>
      </c>
      <c r="H1528" t="n">
        <v>0.0133019944137101</v>
      </c>
      <c r="I1528" t="n">
        <v>0.4297966219422655</v>
      </c>
      <c r="J1528" t="n">
        <v>0.7059467999881316</v>
      </c>
      <c r="K1528" t="n">
        <v>0.0177319804813818</v>
      </c>
      <c r="L1528" t="b">
        <v>0</v>
      </c>
      <c r="M1528" t="b">
        <v>0</v>
      </c>
      <c r="N1528" t="inlineStr">
        <is>
          <t>alt</t>
        </is>
      </c>
      <c r="O1528" t="n">
        <v>100</v>
      </c>
      <c r="P1528" t="n">
        <v>0.00787</v>
      </c>
      <c r="Q1528" t="n">
        <v>100</v>
      </c>
      <c r="R1528" t="n">
        <v>0.1182</v>
      </c>
      <c r="S1528">
        <f>IMAGE("https://mitra.stanford.edu/kundaje/oak/projects/neuro-variants/variant_position/credible/roussos_2024/variant_figures/roussos_2024.adolescence.Astrocyte/rs7222728_count_position.png",4,220,900)</f>
        <v/>
      </c>
      <c r="T1528">
        <f>IMAGE("https://mitra.stanford.edu/kundaje/oak/projects/neuro-variants/variant_position/credible/roussos_2024/variant_figures/roussos_2024.adolescence.Astrocyte/rs7222728_profile_position.png",4,220,900)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-0.1105734582</v>
      </c>
      <c r="G1529" t="n">
        <v>0.07672415411374681</v>
      </c>
      <c r="H1529" t="n">
        <v>0.0228795441239549</v>
      </c>
      <c r="I1529" t="n">
        <v>0.0985724009108935</v>
      </c>
      <c r="J1529" t="n">
        <v>0.6297391923567635</v>
      </c>
      <c r="K1529" t="n">
        <v>0.0283847946889652</v>
      </c>
      <c r="L1529" t="b">
        <v>0</v>
      </c>
      <c r="M1529" t="b">
        <v>0</v>
      </c>
      <c r="N1529" t="inlineStr">
        <is>
          <t>ref</t>
        </is>
      </c>
      <c r="O1529" t="n">
        <v>100</v>
      </c>
      <c r="P1529" t="n">
        <v>0.02037</v>
      </c>
      <c r="Q1529" t="n">
        <v>-85</v>
      </c>
      <c r="R1529" t="n">
        <v>0.1733</v>
      </c>
      <c r="S1529">
        <f>IMAGE("https://mitra.stanford.edu/kundaje/oak/projects/neuro-variants/variant_position/credible/roussos_2024/variant_figures/roussos_2024.adolescence.Astrocyte/rs7214308_count_position.png",4,220,900)</f>
        <v/>
      </c>
      <c r="T1529">
        <f>IMAGE("https://mitra.stanford.edu/kundaje/oak/projects/neuro-variants/variant_position/credible/roussos_2024/variant_figures/roussos_2024.adolescence.Astrocyte/rs7214308_profile_position.png",4,220,900)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0.0018464756</v>
      </c>
      <c r="G1530" t="n">
        <v>0.6631467420405318</v>
      </c>
      <c r="H1530" t="n">
        <v>0.0136176022357497</v>
      </c>
      <c r="I1530" t="n">
        <v>0.4141376450138542</v>
      </c>
      <c r="J1530" t="n">
        <v>0.6300640892502151</v>
      </c>
      <c r="K1530" t="n">
        <v>0.0283575666587922</v>
      </c>
      <c r="L1530" t="b">
        <v>0</v>
      </c>
      <c r="M1530" t="b">
        <v>0</v>
      </c>
      <c r="N1530" t="inlineStr">
        <is>
          <t>alt</t>
        </is>
      </c>
      <c r="O1530" t="n">
        <v>90</v>
      </c>
      <c r="P1530" t="n">
        <v>0.0189</v>
      </c>
      <c r="Q1530" t="n">
        <v>-95</v>
      </c>
      <c r="R1530" t="n">
        <v>0.138</v>
      </c>
      <c r="S1530">
        <f>IMAGE("https://mitra.stanford.edu/kundaje/oak/projects/neuro-variants/variant_position/credible/roussos_2024/variant_figures/roussos_2024.adolescence.Astrocyte/rs12939002_count_position.png",4,220,900)</f>
        <v/>
      </c>
      <c r="T1530">
        <f>IMAGE("https://mitra.stanford.edu/kundaje/oak/projects/neuro-variants/variant_position/credible/roussos_2024/variant_figures/roussos_2024.adolescence.Astrocyte/rs12939002_profile_position.png",4,220,900)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0.00354406152</v>
      </c>
      <c r="G1531" t="n">
        <v>0.8015005384813007</v>
      </c>
      <c r="H1531" t="n">
        <v>0.0107064148987256</v>
      </c>
      <c r="I1531" t="n">
        <v>0.6846503353726122</v>
      </c>
      <c r="J1531" t="n">
        <v>0.0686771207310921</v>
      </c>
      <c r="K1531" t="n">
        <v>0.3864603789192046</v>
      </c>
      <c r="L1531" t="b">
        <v>0</v>
      </c>
      <c r="M1531" t="b">
        <v>0</v>
      </c>
      <c r="N1531" t="inlineStr">
        <is>
          <t>alt</t>
        </is>
      </c>
      <c r="O1531" t="n">
        <v>70</v>
      </c>
      <c r="P1531" t="n">
        <v>0.07025000000000001</v>
      </c>
      <c r="Q1531" t="n">
        <v>-100</v>
      </c>
      <c r="R1531" t="n">
        <v>0.1772</v>
      </c>
      <c r="S1531">
        <f>IMAGE("https://mitra.stanford.edu/kundaje/oak/projects/neuro-variants/variant_position/credible/roussos_2024/variant_figures/roussos_2024.adolescence.Astrocyte/rs6503245_count_position.png",4,220,900)</f>
        <v/>
      </c>
      <c r="T1531">
        <f>IMAGE("https://mitra.stanford.edu/kundaje/oak/projects/neuro-variants/variant_position/credible/roussos_2024/variant_figures/roussos_2024.adolescence.Astrocyte/rs6503245_profile_position.png",4,220,900)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0.0576153984</v>
      </c>
      <c r="G1532" t="n">
        <v>0.1921212298062247</v>
      </c>
      <c r="H1532" t="n">
        <v>0.0118195335783515</v>
      </c>
      <c r="I1532" t="n">
        <v>0.5772250067263365</v>
      </c>
      <c r="J1532" t="n">
        <v>0.09598181170815651</v>
      </c>
      <c r="K1532" t="n">
        <v>0.3370091568096184</v>
      </c>
      <c r="L1532" t="b">
        <v>0</v>
      </c>
      <c r="M1532" t="b">
        <v>0</v>
      </c>
      <c r="N1532" t="inlineStr">
        <is>
          <t>alt</t>
        </is>
      </c>
      <c r="O1532" t="n">
        <v>-95</v>
      </c>
      <c r="P1532" t="n">
        <v>0.004322</v>
      </c>
      <c r="Q1532" t="n">
        <v>60</v>
      </c>
      <c r="R1532" t="n">
        <v>0.08890000000000001</v>
      </c>
      <c r="S1532">
        <f>IMAGE("https://mitra.stanford.edu/kundaje/oak/projects/neuro-variants/variant_position/credible/roussos_2024/variant_figures/roussos_2024.adolescence.Astrocyte/rs8082647_count_position.png",4,220,900)</f>
        <v/>
      </c>
      <c r="T1532">
        <f>IMAGE("https://mitra.stanford.edu/kundaje/oak/projects/neuro-variants/variant_position/credible/roussos_2024/variant_figures/roussos_2024.adolescence.Astrocyte/rs8082647_profile_position.png",4,220,900)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0.0008166487472</v>
      </c>
      <c r="G1533" t="n">
        <v>0.6717574849964512</v>
      </c>
      <c r="H1533" t="n">
        <v>0.0094332618820485</v>
      </c>
      <c r="I1533" t="n">
        <v>0.8214821104506757</v>
      </c>
      <c r="J1533" t="n">
        <v>0.0027104412070141</v>
      </c>
      <c r="K1533" t="n">
        <v>0.8038670614907719</v>
      </c>
      <c r="L1533" t="b">
        <v>0</v>
      </c>
      <c r="M1533" t="b">
        <v>0</v>
      </c>
      <c r="N1533" t="inlineStr">
        <is>
          <t>alt</t>
        </is>
      </c>
      <c r="O1533" t="n">
        <v>-95</v>
      </c>
      <c r="P1533" t="n">
        <v>0.007187</v>
      </c>
      <c r="Q1533" t="n">
        <v>20</v>
      </c>
      <c r="R1533" t="n">
        <v>0.010315</v>
      </c>
      <c r="S1533">
        <f>IMAGE("https://mitra.stanford.edu/kundaje/oak/projects/neuro-variants/variant_position/credible/roussos_2024/variant_figures/roussos_2024.adolescence.Astrocyte/rs2760742_count_position.png",4,220,900)</f>
        <v/>
      </c>
      <c r="T1533">
        <f>IMAGE("https://mitra.stanford.edu/kundaje/oak/projects/neuro-variants/variant_position/credible/roussos_2024/variant_figures/roussos_2024.adolescence.Astrocyte/rs2760742_profile_position.png",4,220,900)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0.0359370318</v>
      </c>
      <c r="G1534" t="n">
        <v>0.3301409103729572</v>
      </c>
      <c r="H1534" t="n">
        <v>0.0122813256480492</v>
      </c>
      <c r="I1534" t="n">
        <v>0.5265189598480476</v>
      </c>
      <c r="J1534" t="n">
        <v>0.3061307598730083</v>
      </c>
      <c r="K1534" t="n">
        <v>0.1306761204882177</v>
      </c>
      <c r="L1534" t="b">
        <v>0</v>
      </c>
      <c r="M1534" t="b">
        <v>0</v>
      </c>
      <c r="N1534" t="inlineStr">
        <is>
          <t>alt</t>
        </is>
      </c>
      <c r="O1534" t="n">
        <v>95</v>
      </c>
      <c r="P1534" t="n">
        <v>0.01685</v>
      </c>
      <c r="Q1534" t="n">
        <v>-10</v>
      </c>
      <c r="R1534" t="n">
        <v>0.004395</v>
      </c>
      <c r="S1534">
        <f>IMAGE("https://mitra.stanford.edu/kundaje/oak/projects/neuro-variants/variant_position/credible/roussos_2024/variant_figures/roussos_2024.adolescence.Astrocyte/rs2760751_count_position.png",4,220,900)</f>
        <v/>
      </c>
      <c r="T1534">
        <f>IMAGE("https://mitra.stanford.edu/kundaje/oak/projects/neuro-variants/variant_position/credible/roussos_2024/variant_figures/roussos_2024.adolescence.Astrocyte/rs2760751_profile_position.png",4,220,900)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-0.0025736959599999</v>
      </c>
      <c r="G1535" t="n">
        <v>0.7335611617179573</v>
      </c>
      <c r="H1535" t="n">
        <v>0.0129562582050332</v>
      </c>
      <c r="I1535" t="n">
        <v>0.4524906032732138</v>
      </c>
      <c r="J1535" t="n">
        <v>0.0318517639379282</v>
      </c>
      <c r="K1535" t="n">
        <v>0.5086961292965698</v>
      </c>
      <c r="L1535" t="b">
        <v>0</v>
      </c>
      <c r="M1535" t="b">
        <v>0</v>
      </c>
      <c r="N1535" t="inlineStr">
        <is>
          <t>ref</t>
        </is>
      </c>
      <c r="O1535" t="n">
        <v>95</v>
      </c>
      <c r="P1535" t="n">
        <v>0.1699</v>
      </c>
      <c r="Q1535" t="n">
        <v>85</v>
      </c>
      <c r="R1535" t="n">
        <v>0.1455</v>
      </c>
      <c r="S1535">
        <f>IMAGE("https://mitra.stanford.edu/kundaje/oak/projects/neuro-variants/variant_position/credible/roussos_2024/variant_figures/roussos_2024.adolescence.Astrocyte/rs8067895_count_position.png",4,220,900)</f>
        <v/>
      </c>
      <c r="T1535">
        <f>IMAGE("https://mitra.stanford.edu/kundaje/oak/projects/neuro-variants/variant_position/credible/roussos_2024/variant_figures/roussos_2024.adolescence.Astrocyte/rs8067895_profile_position.png",4,220,900)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0.1174416318</v>
      </c>
      <c r="G1536" t="n">
        <v>0.0668714531527646</v>
      </c>
      <c r="H1536" t="n">
        <v>0.0212480620245786</v>
      </c>
      <c r="I1536" t="n">
        <v>0.1224999059858497</v>
      </c>
      <c r="J1536" t="n">
        <v>0.0231648517936088</v>
      </c>
      <c r="K1536" t="n">
        <v>0.5632149294114696</v>
      </c>
      <c r="L1536" t="b">
        <v>0</v>
      </c>
      <c r="M1536" t="b">
        <v>0</v>
      </c>
      <c r="N1536" t="inlineStr">
        <is>
          <t>alt</t>
        </is>
      </c>
      <c r="O1536" t="n">
        <v>-70</v>
      </c>
      <c r="P1536" t="n">
        <v>0.014725</v>
      </c>
      <c r="Q1536" t="n">
        <v>-55</v>
      </c>
      <c r="R1536" t="n">
        <v>0.1372</v>
      </c>
      <c r="S1536">
        <f>IMAGE("https://mitra.stanford.edu/kundaje/oak/projects/neuro-variants/variant_position/credible/roussos_2024/variant_figures/roussos_2024.adolescence.Astrocyte/rs2760736_count_position.png",4,220,900)</f>
        <v/>
      </c>
      <c r="T1536">
        <f>IMAGE("https://mitra.stanford.edu/kundaje/oak/projects/neuro-variants/variant_position/credible/roussos_2024/variant_figures/roussos_2024.adolescence.Astrocyte/rs2760736_profile_position.png",4,220,900)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0.0163801719</v>
      </c>
      <c r="G1537" t="n">
        <v>0.5946387051931402</v>
      </c>
      <c r="H1537" t="n">
        <v>0.022291310807911</v>
      </c>
      <c r="I1537" t="n">
        <v>0.0944285751719086</v>
      </c>
      <c r="J1537" t="n">
        <v>0.07819927009465021</v>
      </c>
      <c r="K1537" t="n">
        <v>0.373087461632472</v>
      </c>
      <c r="L1537" t="b">
        <v>0</v>
      </c>
      <c r="M1537" t="b">
        <v>0</v>
      </c>
      <c r="N1537" t="inlineStr">
        <is>
          <t>alt</t>
        </is>
      </c>
      <c r="O1537" t="n">
        <v>-100</v>
      </c>
      <c r="P1537" t="n">
        <v>0.00464</v>
      </c>
      <c r="Q1537" t="n">
        <v>-70</v>
      </c>
      <c r="R1537" t="n">
        <v>0.02554</v>
      </c>
      <c r="S1537">
        <f>IMAGE("https://mitra.stanford.edu/kundaje/oak/projects/neuro-variants/variant_position/credible/roussos_2024/variant_figures/roussos_2024.adolescence.Astrocyte/rs6503302_count_position.png",4,220,900)</f>
        <v/>
      </c>
      <c r="T1537">
        <f>IMAGE("https://mitra.stanford.edu/kundaje/oak/projects/neuro-variants/variant_position/credible/roussos_2024/variant_figures/roussos_2024.adolescence.Astrocyte/rs6503302_profile_position.png",4,220,900)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-0.158294042</v>
      </c>
      <c r="G1538" t="n">
        <v>0.0366277243883662</v>
      </c>
      <c r="H1538" t="n">
        <v>0.0235378244878068</v>
      </c>
      <c r="I1538" t="n">
        <v>0.0830074632894283</v>
      </c>
      <c r="J1538" t="n">
        <v>0.4123253122867401</v>
      </c>
      <c r="K1538" t="n">
        <v>0.0807739801543907</v>
      </c>
      <c r="L1538" t="b">
        <v>0</v>
      </c>
      <c r="M1538" t="b">
        <v>0</v>
      </c>
      <c r="N1538" t="inlineStr">
        <is>
          <t>ref</t>
        </is>
      </c>
      <c r="O1538" t="n">
        <v>-20</v>
      </c>
      <c r="P1538" t="n">
        <v>0.009639999999999999</v>
      </c>
      <c r="Q1538" t="n">
        <v>-100</v>
      </c>
      <c r="R1538" t="n">
        <v>0.1675</v>
      </c>
      <c r="S1538">
        <f>IMAGE("https://mitra.stanford.edu/kundaje/oak/projects/neuro-variants/variant_position/credible/roussos_2024/variant_figures/roussos_2024.adolescence.Astrocyte/rs9910413_count_position.png",4,220,900)</f>
        <v/>
      </c>
      <c r="T1538">
        <f>IMAGE("https://mitra.stanford.edu/kundaje/oak/projects/neuro-variants/variant_position/credible/roussos_2024/variant_figures/roussos_2024.adolescence.Astrocyte/rs9910413_profile_position.png",4,220,900)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-0.0706716154</v>
      </c>
      <c r="G1539" t="n">
        <v>0.1414057216898238</v>
      </c>
      <c r="H1539" t="n">
        <v>0.011833608078797</v>
      </c>
      <c r="I1539" t="n">
        <v>0.5423202087296209</v>
      </c>
      <c r="J1539" t="n">
        <v>0.5231900721004065</v>
      </c>
      <c r="K1539" t="n">
        <v>0.0498112259659432</v>
      </c>
      <c r="L1539" t="b">
        <v>0</v>
      </c>
      <c r="M1539" t="b">
        <v>0</v>
      </c>
      <c r="N1539" t="inlineStr">
        <is>
          <t>ref</t>
        </is>
      </c>
      <c r="O1539" t="n">
        <v>-35</v>
      </c>
      <c r="P1539" t="n">
        <v>0.006634</v>
      </c>
      <c r="Q1539" t="n">
        <v>-50</v>
      </c>
      <c r="R1539" t="n">
        <v>0.0925</v>
      </c>
      <c r="S1539">
        <f>IMAGE("https://mitra.stanford.edu/kundaje/oak/projects/neuro-variants/variant_position/credible/roussos_2024/variant_figures/roussos_2024.adolescence.Astrocyte/rs7214741_count_position.png",4,220,900)</f>
        <v/>
      </c>
      <c r="T1539">
        <f>IMAGE("https://mitra.stanford.edu/kundaje/oak/projects/neuro-variants/variant_position/credible/roussos_2024/variant_figures/roussos_2024.adolescence.Astrocyte/rs7214741_profile_position.png",4,220,900)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0.0469003266</v>
      </c>
      <c r="G1540" t="n">
        <v>0.249258884020876</v>
      </c>
      <c r="H1540" t="n">
        <v>0.0129303040765618</v>
      </c>
      <c r="I1540" t="n">
        <v>0.4684704175403239</v>
      </c>
      <c r="J1540" t="n">
        <v>0.489227220128772</v>
      </c>
      <c r="K1540" t="n">
        <v>0.0588163270658962</v>
      </c>
      <c r="L1540" t="b">
        <v>0</v>
      </c>
      <c r="M1540" t="b">
        <v>0</v>
      </c>
      <c r="N1540" t="inlineStr">
        <is>
          <t>alt</t>
        </is>
      </c>
      <c r="O1540" t="n">
        <v>-90</v>
      </c>
      <c r="P1540" t="n">
        <v>0.03885</v>
      </c>
      <c r="Q1540" t="n">
        <v>-100</v>
      </c>
      <c r="R1540" t="n">
        <v>0.2742</v>
      </c>
      <c r="S1540">
        <f>IMAGE("https://mitra.stanford.edu/kundaje/oak/projects/neuro-variants/variant_position/credible/roussos_2024/variant_figures/roussos_2024.adolescence.Astrocyte/rs7223390_count_position.png",4,220,900)</f>
        <v/>
      </c>
      <c r="T1540">
        <f>IMAGE("https://mitra.stanford.edu/kundaje/oak/projects/neuro-variants/variant_position/credible/roussos_2024/variant_figures/roussos_2024.adolescence.Astrocyte/rs7223390_profile_position.png",4,220,900)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0.165161808</v>
      </c>
      <c r="G1541" t="n">
        <v>0.027421878828509</v>
      </c>
      <c r="H1541" t="n">
        <v>0.0200612254414112</v>
      </c>
      <c r="I1541" t="n">
        <v>0.1446157607811774</v>
      </c>
      <c r="J1541" t="n">
        <v>0.0262387621280004</v>
      </c>
      <c r="K1541" t="n">
        <v>0.5424285140586143</v>
      </c>
      <c r="L1541" t="b">
        <v>0</v>
      </c>
      <c r="M1541" t="b">
        <v>0</v>
      </c>
      <c r="N1541" t="inlineStr">
        <is>
          <t>alt</t>
        </is>
      </c>
      <c r="O1541" t="n">
        <v>-100</v>
      </c>
      <c r="P1541" t="n">
        <v>0.01167</v>
      </c>
      <c r="Q1541" t="n">
        <v>55</v>
      </c>
      <c r="R1541" t="n">
        <v>0.02063</v>
      </c>
      <c r="S1541">
        <f>IMAGE("https://mitra.stanford.edu/kundaje/oak/projects/neuro-variants/variant_position/credible/roussos_2024/variant_figures/roussos_2024.adolescence.Astrocyte/rs57130712_count_position.png",4,220,900)</f>
        <v/>
      </c>
      <c r="T1541">
        <f>IMAGE("https://mitra.stanford.edu/kundaje/oak/projects/neuro-variants/variant_position/credible/roussos_2024/variant_figures/roussos_2024.adolescence.Astrocyte/rs57130712_profile_position.png",4,220,900)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-0.0018748910099999</v>
      </c>
      <c r="G1542" t="n">
        <v>0.7898185994212398</v>
      </c>
      <c r="H1542" t="n">
        <v>0.008064350940594199</v>
      </c>
      <c r="I1542" t="n">
        <v>0.9271441640814396</v>
      </c>
      <c r="J1542" t="n">
        <v>0.060325490312435</v>
      </c>
      <c r="K1542" t="n">
        <v>0.4107715726173752</v>
      </c>
      <c r="L1542" t="b">
        <v>0</v>
      </c>
      <c r="M1542" t="b">
        <v>0</v>
      </c>
      <c r="N1542" t="inlineStr">
        <is>
          <t>ref</t>
        </is>
      </c>
      <c r="O1542" t="n">
        <v>100</v>
      </c>
      <c r="P1542" t="n">
        <v>0.007526</v>
      </c>
      <c r="Q1542" t="n">
        <v>10</v>
      </c>
      <c r="R1542" t="n">
        <v>0.01965</v>
      </c>
      <c r="S1542">
        <f>IMAGE("https://mitra.stanford.edu/kundaje/oak/projects/neuro-variants/variant_position/credible/roussos_2024/variant_figures/roussos_2024.adolescence.Astrocyte/rs2270478_count_position.png",4,220,900)</f>
        <v/>
      </c>
      <c r="T1542">
        <f>IMAGE("https://mitra.stanford.edu/kundaje/oak/projects/neuro-variants/variant_position/credible/roussos_2024/variant_figures/roussos_2024.adolescence.Astrocyte/rs2270478_profile_position.png",4,220,900)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-0.04602135272</v>
      </c>
      <c r="G1543" t="n">
        <v>0.2777397204738848</v>
      </c>
      <c r="H1543" t="n">
        <v>0.0142994750920322</v>
      </c>
      <c r="I1543" t="n">
        <v>0.3695875859059926</v>
      </c>
      <c r="J1543" t="n">
        <v>0.2533313058184731</v>
      </c>
      <c r="K1543" t="n">
        <v>0.166082877527164</v>
      </c>
      <c r="L1543" t="b">
        <v>0</v>
      </c>
      <c r="M1543" t="b">
        <v>0</v>
      </c>
      <c r="N1543" t="inlineStr">
        <is>
          <t>ref</t>
        </is>
      </c>
      <c r="O1543" t="n">
        <v>65</v>
      </c>
      <c r="P1543" t="n">
        <v>0.02914</v>
      </c>
      <c r="Q1543" t="n">
        <v>60</v>
      </c>
      <c r="R1543" t="n">
        <v>0.0813</v>
      </c>
      <c r="S1543">
        <f>IMAGE("https://mitra.stanford.edu/kundaje/oak/projects/neuro-variants/variant_position/credible/roussos_2024/variant_figures/roussos_2024.adolescence.Astrocyte/rs11867782_count_position.png",4,220,900)</f>
        <v/>
      </c>
      <c r="T1543">
        <f>IMAGE("https://mitra.stanford.edu/kundaje/oak/projects/neuro-variants/variant_position/credible/roussos_2024/variant_figures/roussos_2024.adolescence.Astrocyte/rs11867782_profile_position.png",4,220,900)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0.045638628</v>
      </c>
      <c r="G1544" t="n">
        <v>0.2728199797686744</v>
      </c>
      <c r="H1544" t="n">
        <v>0.0118309511913523</v>
      </c>
      <c r="I1544" t="n">
        <v>0.5499500589755024</v>
      </c>
      <c r="J1544" t="n">
        <v>0.2141508174346497</v>
      </c>
      <c r="K1544" t="n">
        <v>0.1936035769082406</v>
      </c>
      <c r="L1544" t="b">
        <v>0</v>
      </c>
      <c r="M1544" t="b">
        <v>0</v>
      </c>
      <c r="N1544" t="inlineStr">
        <is>
          <t>alt</t>
        </is>
      </c>
      <c r="O1544" t="n">
        <v>-60</v>
      </c>
      <c r="P1544" t="n">
        <v>0.00679</v>
      </c>
      <c r="Q1544" t="n">
        <v>25</v>
      </c>
      <c r="R1544" t="n">
        <v>0.03137</v>
      </c>
      <c r="S1544">
        <f>IMAGE("https://mitra.stanford.edu/kundaje/oak/projects/neuro-variants/variant_position/credible/roussos_2024/variant_figures/roussos_2024.adolescence.Astrocyte/rs2126202_count_position.png",4,220,900)</f>
        <v/>
      </c>
      <c r="T1544">
        <f>IMAGE("https://mitra.stanford.edu/kundaje/oak/projects/neuro-variants/variant_position/credible/roussos_2024/variant_figures/roussos_2024.adolescence.Astrocyte/rs2126202_profile_position.png",4,220,900)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0.01126742276</v>
      </c>
      <c r="G1545" t="n">
        <v>0.7240312832360366</v>
      </c>
      <c r="H1545" t="n">
        <v>0.013008529143239</v>
      </c>
      <c r="I1545" t="n">
        <v>0.4659271039448443</v>
      </c>
      <c r="J1545" t="n">
        <v>0.0037251876687534</v>
      </c>
      <c r="K1545" t="n">
        <v>0.774827342673205</v>
      </c>
      <c r="L1545" t="b">
        <v>0</v>
      </c>
      <c r="M1545" t="b">
        <v>0</v>
      </c>
      <c r="N1545" t="inlineStr">
        <is>
          <t>alt</t>
        </is>
      </c>
      <c r="O1545" t="n">
        <v>-40</v>
      </c>
      <c r="P1545" t="n">
        <v>0.002085</v>
      </c>
      <c r="Q1545" t="n">
        <v>0</v>
      </c>
      <c r="R1545" t="n">
        <v>0</v>
      </c>
      <c r="S1545">
        <f>IMAGE("https://mitra.stanford.edu/kundaje/oak/projects/neuro-variants/variant_position/credible/roussos_2024/variant_figures/roussos_2024.adolescence.Astrocyte/rs143499_count_position.png",4,220,900)</f>
        <v/>
      </c>
      <c r="T1545">
        <f>IMAGE("https://mitra.stanford.edu/kundaje/oak/projects/neuro-variants/variant_position/credible/roussos_2024/variant_figures/roussos_2024.adolescence.Astrocyte/rs143499_profile_position.png",4,220,900)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-0.01810796172</v>
      </c>
      <c r="G1546" t="n">
        <v>0.5835322502746078</v>
      </c>
      <c r="H1546" t="n">
        <v>0.0094624091227747</v>
      </c>
      <c r="I1546" t="n">
        <v>0.816832678964448</v>
      </c>
      <c r="J1546" t="n">
        <v>0.1221456546894934</v>
      </c>
      <c r="K1546" t="n">
        <v>0.2882294141790978</v>
      </c>
      <c r="L1546" t="b">
        <v>0</v>
      </c>
      <c r="M1546" t="b">
        <v>0</v>
      </c>
      <c r="N1546" t="inlineStr">
        <is>
          <t>ref</t>
        </is>
      </c>
      <c r="O1546" t="n">
        <v>-75</v>
      </c>
      <c r="P1546" t="n">
        <v>0.00721</v>
      </c>
      <c r="Q1546" t="n">
        <v>-100</v>
      </c>
      <c r="R1546" t="n">
        <v>0.03525</v>
      </c>
      <c r="S1546">
        <f>IMAGE("https://mitra.stanford.edu/kundaje/oak/projects/neuro-variants/variant_position/credible/roussos_2024/variant_figures/roussos_2024.adolescence.Astrocyte/rs7212249_count_position.png",4,220,900)</f>
        <v/>
      </c>
      <c r="T1546">
        <f>IMAGE("https://mitra.stanford.edu/kundaje/oak/projects/neuro-variants/variant_position/credible/roussos_2024/variant_figures/roussos_2024.adolescence.Astrocyte/rs7212249_profile_position.png",4,220,900)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0.0158706208</v>
      </c>
      <c r="G1547" t="n">
        <v>0.6100032499274947</v>
      </c>
      <c r="H1547" t="n">
        <v>0.0246365755039324</v>
      </c>
      <c r="I1547" t="n">
        <v>0.0671922804566447</v>
      </c>
      <c r="J1547" t="n">
        <v>0.0395298638103432</v>
      </c>
      <c r="K1547" t="n">
        <v>0.4784916808061029</v>
      </c>
      <c r="L1547" t="b">
        <v>0</v>
      </c>
      <c r="M1547" t="b">
        <v>0</v>
      </c>
      <c r="N1547" t="inlineStr">
        <is>
          <t>alt</t>
        </is>
      </c>
      <c r="O1547" t="n">
        <v>85</v>
      </c>
      <c r="P1547" t="n">
        <v>0.006943</v>
      </c>
      <c r="Q1547" t="n">
        <v>-65</v>
      </c>
      <c r="R1547" t="n">
        <v>0.1254</v>
      </c>
      <c r="S1547">
        <f>IMAGE("https://mitra.stanford.edu/kundaje/oak/projects/neuro-variants/variant_position/credible/roussos_2024/variant_figures/roussos_2024.adolescence.Astrocyte/rs2169356_count_position.png",4,220,900)</f>
        <v/>
      </c>
      <c r="T1547">
        <f>IMAGE("https://mitra.stanford.edu/kundaje/oak/projects/neuro-variants/variant_position/credible/roussos_2024/variant_figures/roussos_2024.adolescence.Astrocyte/rs2169356_profile_position.png",4,220,900)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0.131836778</v>
      </c>
      <c r="G1548" t="n">
        <v>0.051080440481252</v>
      </c>
      <c r="H1548" t="n">
        <v>0.0153827463249676</v>
      </c>
      <c r="I1548" t="n">
        <v>0.3087182825916447</v>
      </c>
      <c r="J1548" t="n">
        <v>0.2633437676171261</v>
      </c>
      <c r="K1548" t="n">
        <v>0.1549490970927319</v>
      </c>
      <c r="L1548" t="b">
        <v>0</v>
      </c>
      <c r="M1548" t="b">
        <v>0</v>
      </c>
      <c r="N1548" t="inlineStr">
        <is>
          <t>alt</t>
        </is>
      </c>
      <c r="O1548" t="n">
        <v>-100</v>
      </c>
      <c r="P1548" t="n">
        <v>0.0105</v>
      </c>
      <c r="Q1548" t="n">
        <v>25</v>
      </c>
      <c r="R1548" t="n">
        <v>0.03174</v>
      </c>
      <c r="S1548">
        <f>IMAGE("https://mitra.stanford.edu/kundaje/oak/projects/neuro-variants/variant_position/credible/roussos_2024/variant_figures/roussos_2024.adolescence.Astrocyte/rs216218_count_position.png",4,220,900)</f>
        <v/>
      </c>
      <c r="T1548">
        <f>IMAGE("https://mitra.stanford.edu/kundaje/oak/projects/neuro-variants/variant_position/credible/roussos_2024/variant_figures/roussos_2024.adolescence.Astrocyte/rs216218_profile_position.png",4,220,900)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0.02436744586</v>
      </c>
      <c r="G1549" t="n">
        <v>0.4779514855833427</v>
      </c>
      <c r="H1549" t="n">
        <v>0.0211514860732514</v>
      </c>
      <c r="I1549" t="n">
        <v>0.1149924293873416</v>
      </c>
      <c r="J1549" t="n">
        <v>0.0112734771385336</v>
      </c>
      <c r="K1549" t="n">
        <v>0.6547948681797374</v>
      </c>
      <c r="L1549" t="b">
        <v>0</v>
      </c>
      <c r="M1549" t="b">
        <v>0</v>
      </c>
      <c r="N1549" t="inlineStr">
        <is>
          <t>alt</t>
        </is>
      </c>
      <c r="O1549" t="n">
        <v>45</v>
      </c>
      <c r="P1549" t="n">
        <v>0.02924</v>
      </c>
      <c r="Q1549" t="n">
        <v>100</v>
      </c>
      <c r="R1549" t="n">
        <v>0.0779</v>
      </c>
      <c r="S1549">
        <f>IMAGE("https://mitra.stanford.edu/kundaje/oak/projects/neuro-variants/variant_position/credible/roussos_2024/variant_figures/roussos_2024.adolescence.Astrocyte/rs216224_count_position.png",4,220,900)</f>
        <v/>
      </c>
      <c r="T1549">
        <f>IMAGE("https://mitra.stanford.edu/kundaje/oak/projects/neuro-variants/variant_position/credible/roussos_2024/variant_figures/roussos_2024.adolescence.Astrocyte/rs216224_profile_position.png",4,220,900)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0.0023814144599999</v>
      </c>
      <c r="G1550" t="n">
        <v>0.7108942142083166</v>
      </c>
      <c r="H1550" t="n">
        <v>0.0148364089471273</v>
      </c>
      <c r="I1550" t="n">
        <v>0.3324111458095419</v>
      </c>
      <c r="J1550" t="n">
        <v>0.008775183218111099</v>
      </c>
      <c r="K1550" t="n">
        <v>0.6934170384797302</v>
      </c>
      <c r="L1550" t="b">
        <v>0</v>
      </c>
      <c r="M1550" t="b">
        <v>0</v>
      </c>
      <c r="N1550" t="inlineStr">
        <is>
          <t>alt</t>
        </is>
      </c>
      <c r="O1550" t="n">
        <v>-100</v>
      </c>
      <c r="P1550" t="n">
        <v>0.005505</v>
      </c>
      <c r="Q1550" t="n">
        <v>-100</v>
      </c>
      <c r="R1550" t="n">
        <v>0.05945</v>
      </c>
      <c r="S1550">
        <f>IMAGE("https://mitra.stanford.edu/kundaje/oak/projects/neuro-variants/variant_position/credible/roussos_2024/variant_figures/roussos_2024.adolescence.Astrocyte/rs12950555_count_position.png",4,220,900)</f>
        <v/>
      </c>
      <c r="T1550">
        <f>IMAGE("https://mitra.stanford.edu/kundaje/oak/projects/neuro-variants/variant_position/credible/roussos_2024/variant_figures/roussos_2024.adolescence.Astrocyte/rs12950555_profile_position.png",4,220,900)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0.0283587844</v>
      </c>
      <c r="G1551" t="n">
        <v>0.4188365616874237</v>
      </c>
      <c r="H1551" t="n">
        <v>0.0467681191177365</v>
      </c>
      <c r="I1551" t="n">
        <v>0.0050387251247508</v>
      </c>
      <c r="J1551" t="n">
        <v>0.0170793401180903</v>
      </c>
      <c r="K1551" t="n">
        <v>0.5942376972487247</v>
      </c>
      <c r="L1551" t="b">
        <v>1</v>
      </c>
      <c r="M1551" t="b">
        <v>0</v>
      </c>
      <c r="N1551" t="inlineStr">
        <is>
          <t>alt</t>
        </is>
      </c>
      <c r="O1551" t="n">
        <v>20</v>
      </c>
      <c r="P1551" t="n">
        <v>0.03528</v>
      </c>
      <c r="Q1551" t="n">
        <v>-85</v>
      </c>
      <c r="R1551" t="n">
        <v>0.07556</v>
      </c>
      <c r="S1551">
        <f>IMAGE("https://mitra.stanford.edu/kundaje/oak/projects/neuro-variants/variant_position/credible/roussos_2024/variant_figures/roussos_2024.adolescence.Astrocyte/rs9891227_count_position.png",4,220,900)</f>
        <v/>
      </c>
      <c r="T1551">
        <f>IMAGE("https://mitra.stanford.edu/kundaje/oak/projects/neuro-variants/variant_position/credible/roussos_2024/variant_figures/roussos_2024.adolescence.Astrocyte/rs9891227_profile_position.png",4,220,900)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-0.331349558</v>
      </c>
      <c r="G1552" t="n">
        <v>0.0055302725709614</v>
      </c>
      <c r="H1552" t="n">
        <v>0.0377513364979536</v>
      </c>
      <c r="I1552" t="n">
        <v>0.0142732087783798</v>
      </c>
      <c r="J1552" t="n">
        <v>0.0547488354152449</v>
      </c>
      <c r="K1552" t="n">
        <v>0.4303728643955258</v>
      </c>
      <c r="L1552" t="b">
        <v>1</v>
      </c>
      <c r="M1552" t="b">
        <v>1</v>
      </c>
      <c r="N1552" t="inlineStr">
        <is>
          <t>ref</t>
        </is>
      </c>
      <c r="O1552" t="n">
        <v>50</v>
      </c>
      <c r="P1552" t="n">
        <v>0.008736000000000001</v>
      </c>
      <c r="Q1552" t="n">
        <v>-100</v>
      </c>
      <c r="R1552" t="n">
        <v>0.1443</v>
      </c>
      <c r="S1552">
        <f>IMAGE("https://mitra.stanford.edu/kundaje/oak/projects/neuro-variants/variant_position/credible/roussos_2024/variant_figures/roussos_2024.adolescence.Astrocyte/rs216176_count_position.png",4,220,900)</f>
        <v/>
      </c>
      <c r="T1552">
        <f>IMAGE("https://mitra.stanford.edu/kundaje/oak/projects/neuro-variants/variant_position/credible/roussos_2024/variant_figures/roussos_2024.adolescence.Astrocyte/rs216176_profile_position.png",4,220,900)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0.00587191306</v>
      </c>
      <c r="G1553" t="n">
        <v>0.5558819160349416</v>
      </c>
      <c r="H1553" t="n">
        <v>0.010875699676137</v>
      </c>
      <c r="I1553" t="n">
        <v>0.6674335137585682</v>
      </c>
      <c r="J1553" t="n">
        <v>0.023517194315046</v>
      </c>
      <c r="K1553" t="n">
        <v>0.5516126560459521</v>
      </c>
      <c r="L1553" t="b">
        <v>0</v>
      </c>
      <c r="M1553" t="b">
        <v>0</v>
      </c>
      <c r="N1553" t="inlineStr">
        <is>
          <t>alt</t>
        </is>
      </c>
      <c r="O1553" t="n">
        <v>75</v>
      </c>
      <c r="P1553" t="n">
        <v>0.1155</v>
      </c>
      <c r="Q1553" t="n">
        <v>100</v>
      </c>
      <c r="R1553" t="n">
        <v>0.11694</v>
      </c>
      <c r="S1553">
        <f>IMAGE("https://mitra.stanford.edu/kundaje/oak/projects/neuro-variants/variant_position/credible/roussos_2024/variant_figures/roussos_2024.adolescence.Astrocyte/rs1122645_count_position.png",4,220,900)</f>
        <v/>
      </c>
      <c r="T1553">
        <f>IMAGE("https://mitra.stanford.edu/kundaje/oak/projects/neuro-variants/variant_position/credible/roussos_2024/variant_figures/roussos_2024.adolescence.Astrocyte/rs1122645_profile_position.png",4,220,900)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0.0938892528</v>
      </c>
      <c r="G1554" t="n">
        <v>0.09661238795319139</v>
      </c>
      <c r="H1554" t="n">
        <v>0.0187307613969829</v>
      </c>
      <c r="I1554" t="n">
        <v>0.1803121113471882</v>
      </c>
      <c r="J1554" t="n">
        <v>0.0293423434115656</v>
      </c>
      <c r="K1554" t="n">
        <v>0.5264653383835757</v>
      </c>
      <c r="L1554" t="b">
        <v>0</v>
      </c>
      <c r="M1554" t="b">
        <v>0</v>
      </c>
      <c r="N1554" t="inlineStr">
        <is>
          <t>alt</t>
        </is>
      </c>
      <c r="O1554" t="n">
        <v>-5</v>
      </c>
      <c r="P1554" t="n">
        <v>0.0003834</v>
      </c>
      <c r="Q1554" t="n">
        <v>35</v>
      </c>
      <c r="R1554" t="n">
        <v>0.0658</v>
      </c>
      <c r="S1554">
        <f>IMAGE("https://mitra.stanford.edu/kundaje/oak/projects/neuro-variants/variant_position/credible/roussos_2024/variant_figures/roussos_2024.adolescence.Astrocyte/rs11869805_count_position.png",4,220,900)</f>
        <v/>
      </c>
      <c r="T1554">
        <f>IMAGE("https://mitra.stanford.edu/kundaje/oak/projects/neuro-variants/variant_position/credible/roussos_2024/variant_figures/roussos_2024.adolescence.Astrocyte/rs11869805_profile_position.png",4,220,900)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0.1032676999999999</v>
      </c>
      <c r="G1555" t="n">
        <v>0.0748995441401835</v>
      </c>
      <c r="H1555" t="n">
        <v>0.0141920126687065</v>
      </c>
      <c r="I1555" t="n">
        <v>0.3782892983210486</v>
      </c>
      <c r="J1555" t="n">
        <v>0.0237975847847372</v>
      </c>
      <c r="K1555" t="n">
        <v>0.5504788514783816</v>
      </c>
      <c r="L1555" t="b">
        <v>0</v>
      </c>
      <c r="M1555" t="b">
        <v>0</v>
      </c>
      <c r="N1555" t="inlineStr">
        <is>
          <t>alt</t>
        </is>
      </c>
      <c r="O1555" t="n">
        <v>15</v>
      </c>
      <c r="P1555" t="n">
        <v>0.01456</v>
      </c>
      <c r="Q1555" t="n">
        <v>10</v>
      </c>
      <c r="R1555" t="n">
        <v>0.03784</v>
      </c>
      <c r="S1555">
        <f>IMAGE("https://mitra.stanford.edu/kundaje/oak/projects/neuro-variants/variant_position/credible/roussos_2024/variant_figures/roussos_2024.adolescence.Astrocyte/rs6502155_count_position.png",4,220,900)</f>
        <v/>
      </c>
      <c r="T1555">
        <f>IMAGE("https://mitra.stanford.edu/kundaje/oak/projects/neuro-variants/variant_position/credible/roussos_2024/variant_figures/roussos_2024.adolescence.Astrocyte/rs6502155_profile_position.png",4,220,900)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-0.06829190979999999</v>
      </c>
      <c r="G1556" t="n">
        <v>0.1112988705672984</v>
      </c>
      <c r="H1556" t="n">
        <v>0.0138161128410227</v>
      </c>
      <c r="I1556" t="n">
        <v>0.4073667363559897</v>
      </c>
      <c r="J1556" t="n">
        <v>0.1983591965106963</v>
      </c>
      <c r="K1556" t="n">
        <v>0.2059581592182182</v>
      </c>
      <c r="L1556" t="b">
        <v>0</v>
      </c>
      <c r="M1556" t="b">
        <v>0</v>
      </c>
      <c r="N1556" t="inlineStr">
        <is>
          <t>ref</t>
        </is>
      </c>
      <c r="O1556" t="n">
        <v>50</v>
      </c>
      <c r="P1556" t="n">
        <v>0.007164</v>
      </c>
      <c r="Q1556" t="n">
        <v>-80</v>
      </c>
      <c r="R1556" t="n">
        <v>0.1788</v>
      </c>
      <c r="S1556">
        <f>IMAGE("https://mitra.stanford.edu/kundaje/oak/projects/neuro-variants/variant_position/credible/roussos_2024/variant_figures/roussos_2024.adolescence.Astrocyte/rs749240_count_position.png",4,220,900)</f>
        <v/>
      </c>
      <c r="T1556">
        <f>IMAGE("https://mitra.stanford.edu/kundaje/oak/projects/neuro-variants/variant_position/credible/roussos_2024/variant_figures/roussos_2024.adolescence.Astrocyte/rs749240_profile_position.png",4,220,900)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0.2283017499999999</v>
      </c>
      <c r="G1557" t="n">
        <v>0.0220247965767743</v>
      </c>
      <c r="H1557" t="n">
        <v>0.0338801863029255</v>
      </c>
      <c r="I1557" t="n">
        <v>0.0241038758543781</v>
      </c>
      <c r="J1557" t="n">
        <v>0.0300329347535827</v>
      </c>
      <c r="K1557" t="n">
        <v>0.5308317438143424</v>
      </c>
      <c r="L1557" t="b">
        <v>0</v>
      </c>
      <c r="M1557" t="b">
        <v>0</v>
      </c>
      <c r="N1557" t="inlineStr">
        <is>
          <t>alt</t>
        </is>
      </c>
      <c r="O1557" t="n">
        <v>20</v>
      </c>
      <c r="P1557" t="n">
        <v>0.005005</v>
      </c>
      <c r="Q1557" t="n">
        <v>15</v>
      </c>
      <c r="R1557" t="n">
        <v>0.06909999999999999</v>
      </c>
      <c r="S1557">
        <f>IMAGE("https://mitra.stanford.edu/kundaje/oak/projects/neuro-variants/variant_position/credible/roussos_2024/variant_figures/roussos_2024.adolescence.Astrocyte/rs410378_count_position.png",4,220,900)</f>
        <v/>
      </c>
      <c r="T1557">
        <f>IMAGE("https://mitra.stanford.edu/kundaje/oak/projects/neuro-variants/variant_position/credible/roussos_2024/variant_figures/roussos_2024.adolescence.Astrocyte/rs410378_profile_position.png",4,220,900)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-0.02377619635</v>
      </c>
      <c r="G1558" t="n">
        <v>0.4792213480595554</v>
      </c>
      <c r="H1558" t="n">
        <v>0.0127023155662918</v>
      </c>
      <c r="I1558" t="n">
        <v>0.4911959122240367</v>
      </c>
      <c r="J1558" t="n">
        <v>0.009307034982049</v>
      </c>
      <c r="K1558" t="n">
        <v>0.6722496313563086</v>
      </c>
      <c r="L1558" t="b">
        <v>0</v>
      </c>
      <c r="M1558" t="b">
        <v>0</v>
      </c>
      <c r="N1558" t="inlineStr">
        <is>
          <t>ref</t>
        </is>
      </c>
      <c r="O1558" t="n">
        <v>70</v>
      </c>
      <c r="P1558" t="n">
        <v>0.001932</v>
      </c>
      <c r="Q1558" t="n">
        <v>-75</v>
      </c>
      <c r="R1558" t="n">
        <v>0.0919</v>
      </c>
      <c r="S1558">
        <f>IMAGE("https://mitra.stanford.edu/kundaje/oak/projects/neuro-variants/variant_position/credible/roussos_2024/variant_figures/roussos_2024.adolescence.Astrocyte/rs216202_count_position.png",4,220,900)</f>
        <v/>
      </c>
      <c r="T1558">
        <f>IMAGE("https://mitra.stanford.edu/kundaje/oak/projects/neuro-variants/variant_position/credible/roussos_2024/variant_figures/roussos_2024.adolescence.Astrocyte/rs216202_profile_position.png",4,220,900)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-0.0844525018</v>
      </c>
      <c r="G1559" t="n">
        <v>0.1079968771180147</v>
      </c>
      <c r="H1559" t="n">
        <v>0.0122427196200985</v>
      </c>
      <c r="I1559" t="n">
        <v>0.5375565831262068</v>
      </c>
      <c r="J1559" t="n">
        <v>0.0921431326588137</v>
      </c>
      <c r="K1559" t="n">
        <v>0.337551802507033</v>
      </c>
      <c r="L1559" t="b">
        <v>0</v>
      </c>
      <c r="M1559" t="b">
        <v>0</v>
      </c>
      <c r="N1559" t="inlineStr">
        <is>
          <t>ref</t>
        </is>
      </c>
      <c r="O1559" t="n">
        <v>-70</v>
      </c>
      <c r="P1559" t="n">
        <v>0.04626</v>
      </c>
      <c r="Q1559" t="n">
        <v>-70</v>
      </c>
      <c r="R1559" t="n">
        <v>0.1971</v>
      </c>
      <c r="S1559">
        <f>IMAGE("https://mitra.stanford.edu/kundaje/oak/projects/neuro-variants/variant_position/credible/roussos_2024/variant_figures/roussos_2024.adolescence.Astrocyte/rs216201_count_position.png",4,220,900)</f>
        <v/>
      </c>
      <c r="T1559">
        <f>IMAGE("https://mitra.stanford.edu/kundaje/oak/projects/neuro-variants/variant_position/credible/roussos_2024/variant_figures/roussos_2024.adolescence.Astrocyte/rs216201_profile_position.png",4,220,900)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-0.02554590288</v>
      </c>
      <c r="G1560" t="n">
        <v>0.4503452238151383</v>
      </c>
      <c r="H1560" t="n">
        <v>0.0149939479023331</v>
      </c>
      <c r="I1560" t="n">
        <v>0.3266527674921051</v>
      </c>
      <c r="J1560" t="n">
        <v>0.0166298252381093</v>
      </c>
      <c r="K1560" t="n">
        <v>0.6010605713341529</v>
      </c>
      <c r="L1560" t="b">
        <v>0</v>
      </c>
      <c r="M1560" t="b">
        <v>0</v>
      </c>
      <c r="N1560" t="inlineStr">
        <is>
          <t>ref</t>
        </is>
      </c>
      <c r="O1560" t="n">
        <v>-100</v>
      </c>
      <c r="P1560" t="n">
        <v>0.001846</v>
      </c>
      <c r="Q1560" t="n">
        <v>-85</v>
      </c>
      <c r="R1560" t="n">
        <v>0.0945</v>
      </c>
      <c r="S1560">
        <f>IMAGE("https://mitra.stanford.edu/kundaje/oak/projects/neuro-variants/variant_position/credible/roussos_2024/variant_figures/roussos_2024.adolescence.Astrocyte/rs394752_count_position.png",4,220,900)</f>
        <v/>
      </c>
      <c r="T1560">
        <f>IMAGE("https://mitra.stanford.edu/kundaje/oak/projects/neuro-variants/variant_position/credible/roussos_2024/variant_figures/roussos_2024.adolescence.Astrocyte/rs394752_profile_position.png",4,220,900)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0.0337650114</v>
      </c>
      <c r="G1561" t="n">
        <v>0.3383935209221088</v>
      </c>
      <c r="H1561" t="n">
        <v>0.0146790556139901</v>
      </c>
      <c r="I1561" t="n">
        <v>0.3454105714315548</v>
      </c>
      <c r="J1561" t="n">
        <v>0.0561159243984214</v>
      </c>
      <c r="K1561" t="n">
        <v>0.4179972904988206</v>
      </c>
      <c r="L1561" t="b">
        <v>0</v>
      </c>
      <c r="M1561" t="b">
        <v>0</v>
      </c>
      <c r="N1561" t="inlineStr">
        <is>
          <t>alt</t>
        </is>
      </c>
      <c r="O1561" t="n">
        <v>25</v>
      </c>
      <c r="P1561" t="n">
        <v>0.004517</v>
      </c>
      <c r="Q1561" t="n">
        <v>100</v>
      </c>
      <c r="R1561" t="n">
        <v>0.12244</v>
      </c>
      <c r="S1561">
        <f>IMAGE("https://mitra.stanford.edu/kundaje/oak/projects/neuro-variants/variant_position/credible/roussos_2024/variant_figures/roussos_2024.adolescence.Astrocyte/rs216197_count_position.png",4,220,900)</f>
        <v/>
      </c>
      <c r="T1561">
        <f>IMAGE("https://mitra.stanford.edu/kundaje/oak/projects/neuro-variants/variant_position/credible/roussos_2024/variant_figures/roussos_2024.adolescence.Astrocyte/rs216197_profile_position.png",4,220,900)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0.0222600356</v>
      </c>
      <c r="G1562" t="n">
        <v>0.3552359204704346</v>
      </c>
      <c r="H1562" t="n">
        <v>0.0102006886209096</v>
      </c>
      <c r="I1562" t="n">
        <v>0.7397942355702836</v>
      </c>
      <c r="J1562" t="n">
        <v>0.4674569029463252</v>
      </c>
      <c r="K1562" t="n">
        <v>0.0654418011045043</v>
      </c>
      <c r="L1562" t="b">
        <v>0</v>
      </c>
      <c r="M1562" t="b">
        <v>0</v>
      </c>
      <c r="N1562" t="inlineStr">
        <is>
          <t>alt</t>
        </is>
      </c>
      <c r="O1562" t="n">
        <v>20</v>
      </c>
      <c r="P1562" t="n">
        <v>0.001759</v>
      </c>
      <c r="Q1562" t="n">
        <v>5</v>
      </c>
      <c r="R1562" t="n">
        <v>0.0001221</v>
      </c>
      <c r="S1562">
        <f>IMAGE("https://mitra.stanford.edu/kundaje/oak/projects/neuro-variants/variant_position/credible/roussos_2024/variant_figures/roussos_2024.adolescence.Astrocyte/rs216196_count_position.png",4,220,900)</f>
        <v/>
      </c>
      <c r="T1562">
        <f>IMAGE("https://mitra.stanford.edu/kundaje/oak/projects/neuro-variants/variant_position/credible/roussos_2024/variant_figures/roussos_2024.adolescence.Astrocyte/rs216196_profile_position.png",4,220,900)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0.081103644</v>
      </c>
      <c r="G1563" t="n">
        <v>0.1251146712510025</v>
      </c>
      <c r="H1563" t="n">
        <v>0.0321563145475947</v>
      </c>
      <c r="I1563" t="n">
        <v>0.0245315003537844</v>
      </c>
      <c r="J1563" t="n">
        <v>0.337622763552206</v>
      </c>
      <c r="K1563" t="n">
        <v>0.1150136591422705</v>
      </c>
      <c r="L1563" t="b">
        <v>0</v>
      </c>
      <c r="M1563" t="b">
        <v>0</v>
      </c>
      <c r="N1563" t="inlineStr">
        <is>
          <t>alt</t>
        </is>
      </c>
      <c r="O1563" t="n">
        <v>-100</v>
      </c>
      <c r="P1563" t="n">
        <v>0.00201</v>
      </c>
      <c r="Q1563" t="n">
        <v>-35</v>
      </c>
      <c r="R1563" t="n">
        <v>0.0775</v>
      </c>
      <c r="S1563">
        <f>IMAGE("https://mitra.stanford.edu/kundaje/oak/projects/neuro-variants/variant_position/credible/roussos_2024/variant_figures/roussos_2024.adolescence.Astrocyte/rs2224770_count_position.png",4,220,900)</f>
        <v/>
      </c>
      <c r="T1563">
        <f>IMAGE("https://mitra.stanford.edu/kundaje/oak/projects/neuro-variants/variant_position/credible/roussos_2024/variant_figures/roussos_2024.adolescence.Astrocyte/rs2224770_profile_position.png",4,220,900)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0.1000295602</v>
      </c>
      <c r="G1564" t="n">
        <v>0.0751158896139881</v>
      </c>
      <c r="H1564" t="n">
        <v>0.0116808264286367</v>
      </c>
      <c r="I1564" t="n">
        <v>0.5821895447520231</v>
      </c>
      <c r="J1564" t="n">
        <v>0.0164725692074888</v>
      </c>
      <c r="K1564" t="n">
        <v>0.6055715995398705</v>
      </c>
      <c r="L1564" t="b">
        <v>0</v>
      </c>
      <c r="M1564" t="b">
        <v>0</v>
      </c>
      <c r="N1564" t="inlineStr">
        <is>
          <t>alt</t>
        </is>
      </c>
      <c r="O1564" t="n">
        <v>60</v>
      </c>
      <c r="P1564" t="n">
        <v>0.00826</v>
      </c>
      <c r="Q1564" t="n">
        <v>-5</v>
      </c>
      <c r="R1564" t="n">
        <v>0.000351</v>
      </c>
      <c r="S1564">
        <f>IMAGE("https://mitra.stanford.edu/kundaje/oak/projects/neuro-variants/variant_position/credible/roussos_2024/variant_figures/roussos_2024.adolescence.Astrocyte/rs391300_count_position.png",4,220,900)</f>
        <v/>
      </c>
      <c r="T1564">
        <f>IMAGE("https://mitra.stanford.edu/kundaje/oak/projects/neuro-variants/variant_position/credible/roussos_2024/variant_figures/roussos_2024.adolescence.Astrocyte/rs391300_profile_position.png",4,220,900)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-0.00040410496</v>
      </c>
      <c r="G1565" t="n">
        <v>0.7859967953704363</v>
      </c>
      <c r="H1565" t="n">
        <v>0.0071005924699176</v>
      </c>
      <c r="I1565" t="n">
        <v>0.9722462040057772</v>
      </c>
      <c r="J1565" t="n">
        <v>0.0197645610183069</v>
      </c>
      <c r="K1565" t="n">
        <v>0.5818110751112581</v>
      </c>
      <c r="L1565" t="b">
        <v>0</v>
      </c>
      <c r="M1565" t="b">
        <v>0</v>
      </c>
      <c r="N1565" t="inlineStr">
        <is>
          <t>ref</t>
        </is>
      </c>
      <c r="O1565" t="n">
        <v>-15</v>
      </c>
      <c r="P1565" t="n">
        <v>0.00103</v>
      </c>
      <c r="Q1565" t="n">
        <v>15</v>
      </c>
      <c r="R1565" t="n">
        <v>0.08093</v>
      </c>
      <c r="S1565">
        <f>IMAGE("https://mitra.stanford.edu/kundaje/oak/projects/neuro-variants/variant_position/credible/roussos_2024/variant_figures/roussos_2024.adolescence.Astrocyte/rs28756069_count_position.png",4,220,900)</f>
        <v/>
      </c>
      <c r="T1565">
        <f>IMAGE("https://mitra.stanford.edu/kundaje/oak/projects/neuro-variants/variant_position/credible/roussos_2024/variant_figures/roussos_2024.adolescence.Astrocyte/rs28756069_profile_position.png",4,220,900)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-0.0081303938487999</v>
      </c>
      <c r="G1566" t="n">
        <v>0.7422027742487831</v>
      </c>
      <c r="H1566" t="n">
        <v>0.0323395594833365</v>
      </c>
      <c r="I1566" t="n">
        <v>0.0234259845539705</v>
      </c>
      <c r="J1566" t="n">
        <v>0.0043111889149333</v>
      </c>
      <c r="K1566" t="n">
        <v>0.7592994558472486</v>
      </c>
      <c r="L1566" t="b">
        <v>0</v>
      </c>
      <c r="M1566" t="b">
        <v>0</v>
      </c>
      <c r="N1566" t="inlineStr">
        <is>
          <t>ref</t>
        </is>
      </c>
      <c r="O1566" t="n">
        <v>95</v>
      </c>
      <c r="P1566" t="n">
        <v>0.002525</v>
      </c>
      <c r="Q1566" t="n">
        <v>95</v>
      </c>
      <c r="R1566" t="n">
        <v>0.2146</v>
      </c>
      <c r="S1566">
        <f>IMAGE("https://mitra.stanford.edu/kundaje/oak/projects/neuro-variants/variant_position/credible/roussos_2024/variant_figures/roussos_2024.adolescence.Astrocyte/rs9913489_count_position.png",4,220,900)</f>
        <v/>
      </c>
      <c r="T1566">
        <f>IMAGE("https://mitra.stanford.edu/kundaje/oak/projects/neuro-variants/variant_position/credible/roussos_2024/variant_figures/roussos_2024.adolescence.Astrocyte/rs9913489_profile_position.png",4,220,900)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0.0409509968</v>
      </c>
      <c r="G1567" t="n">
        <v>0.2827687875327277</v>
      </c>
      <c r="H1567" t="n">
        <v>0.0144178569356399</v>
      </c>
      <c r="I1567" t="n">
        <v>0.357175165558654</v>
      </c>
      <c r="J1567" t="n">
        <v>0.0100198795359463</v>
      </c>
      <c r="K1567" t="n">
        <v>0.6580313606187559</v>
      </c>
      <c r="L1567" t="b">
        <v>0</v>
      </c>
      <c r="M1567" t="b">
        <v>0</v>
      </c>
      <c r="N1567" t="inlineStr">
        <is>
          <t>alt</t>
        </is>
      </c>
      <c r="O1567" t="n">
        <v>-60</v>
      </c>
      <c r="P1567" t="n">
        <v>0.01318</v>
      </c>
      <c r="Q1567" t="n">
        <v>100</v>
      </c>
      <c r="R1567" t="n">
        <v>0.0839</v>
      </c>
      <c r="S1567">
        <f>IMAGE("https://mitra.stanford.edu/kundaje/oak/projects/neuro-variants/variant_position/credible/roussos_2024/variant_figures/roussos_2024.adolescence.Astrocyte/rs11868068_count_position.png",4,220,900)</f>
        <v/>
      </c>
      <c r="T1567">
        <f>IMAGE("https://mitra.stanford.edu/kundaje/oak/projects/neuro-variants/variant_position/credible/roussos_2024/variant_figures/roussos_2024.adolescence.Astrocyte/rs11868068_profile_position.png",4,220,900)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0.0287443058</v>
      </c>
      <c r="G1568" t="n">
        <v>0.4180212276539305</v>
      </c>
      <c r="H1568" t="n">
        <v>0.0353989877696611</v>
      </c>
      <c r="I1568" t="n">
        <v>0.015843845808916</v>
      </c>
      <c r="J1568" t="n">
        <v>0.0698565409607453</v>
      </c>
      <c r="K1568" t="n">
        <v>0.3944747453347466</v>
      </c>
      <c r="L1568" t="b">
        <v>1</v>
      </c>
      <c r="M1568" t="b">
        <v>0</v>
      </c>
      <c r="N1568" t="inlineStr">
        <is>
          <t>alt</t>
        </is>
      </c>
      <c r="O1568" t="n">
        <v>65</v>
      </c>
      <c r="P1568" t="n">
        <v>0.00771</v>
      </c>
      <c r="Q1568" t="n">
        <v>-100</v>
      </c>
      <c r="R1568" t="n">
        <v>0.2189</v>
      </c>
      <c r="S1568">
        <f>IMAGE("https://mitra.stanford.edu/kundaje/oak/projects/neuro-variants/variant_position/credible/roussos_2024/variant_figures/roussos_2024.adolescence.Astrocyte/rs1866175_count_position.png",4,220,900)</f>
        <v/>
      </c>
      <c r="T1568">
        <f>IMAGE("https://mitra.stanford.edu/kundaje/oak/projects/neuro-variants/variant_position/credible/roussos_2024/variant_figures/roussos_2024.adolescence.Astrocyte/rs1866175_profile_position.png",4,220,900)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-0.09019427300000001</v>
      </c>
      <c r="G1569" t="n">
        <v>0.1087850608212375</v>
      </c>
      <c r="H1569" t="n">
        <v>0.0170113305941363</v>
      </c>
      <c r="I1569" t="n">
        <v>0.238574504884247</v>
      </c>
      <c r="J1569" t="n">
        <v>0.07199507462243709</v>
      </c>
      <c r="K1569" t="n">
        <v>0.3816019459294003</v>
      </c>
      <c r="L1569" t="b">
        <v>0</v>
      </c>
      <c r="M1569" t="b">
        <v>0</v>
      </c>
      <c r="N1569" t="inlineStr">
        <is>
          <t>ref</t>
        </is>
      </c>
      <c r="O1569" t="n">
        <v>90</v>
      </c>
      <c r="P1569" t="n">
        <v>0.003513</v>
      </c>
      <c r="Q1569" t="n">
        <v>-90</v>
      </c>
      <c r="R1569" t="n">
        <v>0.03687</v>
      </c>
      <c r="S1569">
        <f>IMAGE("https://mitra.stanford.edu/kundaje/oak/projects/neuro-variants/variant_position/credible/roussos_2024/variant_figures/roussos_2024.adolescence.Astrocyte/rs9303185_count_position.png",4,220,900)</f>
        <v/>
      </c>
      <c r="T1569">
        <f>IMAGE("https://mitra.stanford.edu/kundaje/oak/projects/neuro-variants/variant_position/credible/roussos_2024/variant_figures/roussos_2024.adolescence.Astrocyte/rs9303185_profile_position.png",4,220,900)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-0.107843482</v>
      </c>
      <c r="G1570" t="n">
        <v>0.0718887821764758</v>
      </c>
      <c r="H1570" t="n">
        <v>0.0146927202147074</v>
      </c>
      <c r="I1570" t="n">
        <v>0.3488082760852606</v>
      </c>
      <c r="J1570" t="n">
        <v>0.026921935732724</v>
      </c>
      <c r="K1570" t="n">
        <v>0.5374146197939875</v>
      </c>
      <c r="L1570" t="b">
        <v>0</v>
      </c>
      <c r="M1570" t="b">
        <v>0</v>
      </c>
      <c r="N1570" t="inlineStr">
        <is>
          <t>ref</t>
        </is>
      </c>
      <c r="O1570" t="n">
        <v>20</v>
      </c>
      <c r="P1570" t="n">
        <v>0.000801</v>
      </c>
      <c r="Q1570" t="n">
        <v>-100</v>
      </c>
      <c r="R1570" t="n">
        <v>0.2466</v>
      </c>
      <c r="S1570">
        <f>IMAGE("https://mitra.stanford.edu/kundaje/oak/projects/neuro-variants/variant_position/credible/roussos_2024/variant_figures/roussos_2024.adolescence.Astrocyte/rs4456561_count_position.png",4,220,900)</f>
        <v/>
      </c>
      <c r="T1570">
        <f>IMAGE("https://mitra.stanford.edu/kundaje/oak/projects/neuro-variants/variant_position/credible/roussos_2024/variant_figures/roussos_2024.adolescence.Astrocyte/rs4456561_profile_position.png",4,220,900)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0.050119614</v>
      </c>
      <c r="G1571" t="n">
        <v>0.2280081723577295</v>
      </c>
      <c r="H1571" t="n">
        <v>0.0119626965116197</v>
      </c>
      <c r="I1571" t="n">
        <v>0.5515993644240084</v>
      </c>
      <c r="J1571" t="n">
        <v>0.0023551315906595</v>
      </c>
      <c r="K1571" t="n">
        <v>0.8139417487996435</v>
      </c>
      <c r="L1571" t="b">
        <v>0</v>
      </c>
      <c r="M1571" t="b">
        <v>0</v>
      </c>
      <c r="N1571" t="inlineStr">
        <is>
          <t>alt</t>
        </is>
      </c>
      <c r="O1571" t="n">
        <v>-70</v>
      </c>
      <c r="P1571" t="n">
        <v>0.005844</v>
      </c>
      <c r="Q1571" t="n">
        <v>15</v>
      </c>
      <c r="R1571" t="n">
        <v>0.0892</v>
      </c>
      <c r="S1571">
        <f>IMAGE("https://mitra.stanford.edu/kundaje/oak/projects/neuro-variants/variant_position/credible/roussos_2024/variant_figures/roussos_2024.adolescence.Astrocyte/rs34499321_count_position.png",4,220,900)</f>
        <v/>
      </c>
      <c r="T1571">
        <f>IMAGE("https://mitra.stanford.edu/kundaje/oak/projects/neuro-variants/variant_position/credible/roussos_2024/variant_figures/roussos_2024.adolescence.Astrocyte/rs34499321_profile_position.png",4,220,900)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0.08192268</v>
      </c>
      <c r="G1572" t="n">
        <v>0.1102184058174466</v>
      </c>
      <c r="H1572" t="n">
        <v>0.0117279465167659</v>
      </c>
      <c r="I1572" t="n">
        <v>0.5859365073249487</v>
      </c>
      <c r="J1572" t="n">
        <v>0.0078427736403286</v>
      </c>
      <c r="K1572" t="n">
        <v>0.695464207904589</v>
      </c>
      <c r="L1572" t="b">
        <v>0</v>
      </c>
      <c r="M1572" t="b">
        <v>0</v>
      </c>
      <c r="N1572" t="inlineStr">
        <is>
          <t>alt</t>
        </is>
      </c>
      <c r="O1572" t="n">
        <v>75</v>
      </c>
      <c r="P1572" t="n">
        <v>0.04987</v>
      </c>
      <c r="Q1572" t="n">
        <v>40</v>
      </c>
      <c r="R1572" t="n">
        <v>0.1267</v>
      </c>
      <c r="S1572">
        <f>IMAGE("https://mitra.stanford.edu/kundaje/oak/projects/neuro-variants/variant_position/credible/roussos_2024/variant_figures/roussos_2024.adolescence.Astrocyte/rs35513053_count_position.png",4,220,900)</f>
        <v/>
      </c>
      <c r="T1572">
        <f>IMAGE("https://mitra.stanford.edu/kundaje/oak/projects/neuro-variants/variant_position/credible/roussos_2024/variant_figures/roussos_2024.adolescence.Astrocyte/rs35513053_profile_position.png",4,220,900)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-0.1354472696</v>
      </c>
      <c r="G1573" t="n">
        <v>0.0525277792357395</v>
      </c>
      <c r="H1573" t="n">
        <v>0.0251237044656076</v>
      </c>
      <c r="I1573" t="n">
        <v>0.0627771482607707</v>
      </c>
      <c r="J1573" t="n">
        <v>0.9635166008960626</v>
      </c>
      <c r="K1573" t="n">
        <v>8.040945439885708e-05</v>
      </c>
      <c r="L1573" t="b">
        <v>0</v>
      </c>
      <c r="M1573" t="b">
        <v>0</v>
      </c>
      <c r="N1573" t="inlineStr">
        <is>
          <t>ref</t>
        </is>
      </c>
      <c r="O1573" t="n">
        <v>-100</v>
      </c>
      <c r="P1573" t="n">
        <v>0.004627</v>
      </c>
      <c r="Q1573" t="n">
        <v>60</v>
      </c>
      <c r="R1573" t="n">
        <v>0.04877</v>
      </c>
      <c r="S1573">
        <f>IMAGE("https://mitra.stanford.edu/kundaje/oak/projects/neuro-variants/variant_position/credible/roussos_2024/variant_figures/roussos_2024.adolescence.Astrocyte/rs76655185_count_position.png",4,220,900)</f>
        <v/>
      </c>
      <c r="T1573">
        <f>IMAGE("https://mitra.stanford.edu/kundaje/oak/projects/neuro-variants/variant_position/credible/roussos_2024/variant_figures/roussos_2024.adolescence.Astrocyte/rs76655185_profile_position.png",4,220,900)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-0.4302107540000001</v>
      </c>
      <c r="G1574" t="n">
        <v>0.002332137340454</v>
      </c>
      <c r="H1574" t="n">
        <v>0.0444521941230158</v>
      </c>
      <c r="I1574" t="n">
        <v>0.0067030518439031</v>
      </c>
      <c r="J1574" t="n">
        <v>0.4881790938492122</v>
      </c>
      <c r="K1574" t="n">
        <v>0.0585976647667042</v>
      </c>
      <c r="L1574" t="b">
        <v>1</v>
      </c>
      <c r="M1574" t="b">
        <v>1</v>
      </c>
      <c r="N1574" t="inlineStr">
        <is>
          <t>ref</t>
        </is>
      </c>
      <c r="O1574" t="n">
        <v>60</v>
      </c>
      <c r="P1574" t="n">
        <v>0.08740000000000001</v>
      </c>
      <c r="Q1574" t="n">
        <v>45</v>
      </c>
      <c r="R1574" t="n">
        <v>0.08400000000000001</v>
      </c>
      <c r="S1574">
        <f>IMAGE("https://mitra.stanford.edu/kundaje/oak/projects/neuro-variants/variant_position/credible/roussos_2024/variant_figures/roussos_2024.adolescence.Astrocyte/rs9891529_count_position.png",4,220,900)</f>
        <v/>
      </c>
      <c r="T1574">
        <f>IMAGE("https://mitra.stanford.edu/kundaje/oak/projects/neuro-variants/variant_position/credible/roussos_2024/variant_figures/roussos_2024.adolescence.Astrocyte/rs9891529_profile_position.png",4,220,900)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-0.24346382</v>
      </c>
      <c r="G1575" t="n">
        <v>0.0114087274576955</v>
      </c>
      <c r="H1575" t="n">
        <v>0.0198660420563051</v>
      </c>
      <c r="I1575" t="n">
        <v>0.1393751428392798</v>
      </c>
      <c r="J1575" t="n">
        <v>0.0859174257484496</v>
      </c>
      <c r="K1575" t="n">
        <v>0.3539049030154762</v>
      </c>
      <c r="L1575" t="b">
        <v>1</v>
      </c>
      <c r="M1575" t="b">
        <v>0</v>
      </c>
      <c r="N1575" t="inlineStr">
        <is>
          <t>ref</t>
        </is>
      </c>
      <c r="O1575" t="n">
        <v>-65</v>
      </c>
      <c r="P1575" t="n">
        <v>0.02094</v>
      </c>
      <c r="Q1575" t="n">
        <v>80</v>
      </c>
      <c r="R1575" t="n">
        <v>0.05493</v>
      </c>
      <c r="S1575">
        <f>IMAGE("https://mitra.stanford.edu/kundaje/oak/projects/neuro-variants/variant_position/credible/roussos_2024/variant_figures/roussos_2024.adolescence.Astrocyte/rs16954519_count_position.png",4,220,900)</f>
        <v/>
      </c>
      <c r="T1575">
        <f>IMAGE("https://mitra.stanford.edu/kundaje/oak/projects/neuro-variants/variant_position/credible/roussos_2024/variant_figures/roussos_2024.adolescence.Astrocyte/rs16954519_profile_position.png",4,220,900)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-0.279498832</v>
      </c>
      <c r="G1576" t="n">
        <v>0.0077537498706923</v>
      </c>
      <c r="H1576" t="n">
        <v>0.0226416834335678</v>
      </c>
      <c r="I1576" t="n">
        <v>0.0895332226495182</v>
      </c>
      <c r="J1576" t="n">
        <v>0.2150268522090021</v>
      </c>
      <c r="K1576" t="n">
        <v>0.1907888970987614</v>
      </c>
      <c r="L1576" t="b">
        <v>1</v>
      </c>
      <c r="M1576" t="b">
        <v>1</v>
      </c>
      <c r="N1576" t="inlineStr">
        <is>
          <t>ref</t>
        </is>
      </c>
      <c r="O1576" t="n">
        <v>90</v>
      </c>
      <c r="P1576" t="n">
        <v>0.06610000000000001</v>
      </c>
      <c r="Q1576" t="n">
        <v>65</v>
      </c>
      <c r="R1576" t="n">
        <v>0.1454</v>
      </c>
      <c r="S1576">
        <f>IMAGE("https://mitra.stanford.edu/kundaje/oak/projects/neuro-variants/variant_position/credible/roussos_2024/variant_figures/roussos_2024.adolescence.Astrocyte/rs10445248_count_position.png",4,220,900)</f>
        <v/>
      </c>
      <c r="T1576">
        <f>IMAGE("https://mitra.stanford.edu/kundaje/oak/projects/neuro-variants/variant_position/credible/roussos_2024/variant_figures/roussos_2024.adolescence.Astrocyte/rs10445248_profile_position.png",4,220,900)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-0.24622466</v>
      </c>
      <c r="G1577" t="n">
        <v>0.0121390185050305</v>
      </c>
      <c r="H1577" t="n">
        <v>0.027627946001902</v>
      </c>
      <c r="I1577" t="n">
        <v>0.0477032369929467</v>
      </c>
      <c r="J1577" t="n">
        <v>0.6071217695754088</v>
      </c>
      <c r="K1577" t="n">
        <v>0.0318236922079546</v>
      </c>
      <c r="L1577" t="b">
        <v>1</v>
      </c>
      <c r="M1577" t="b">
        <v>0</v>
      </c>
      <c r="N1577" t="inlineStr">
        <is>
          <t>ref</t>
        </is>
      </c>
      <c r="O1577" t="n">
        <v>60</v>
      </c>
      <c r="P1577" t="n">
        <v>0.0483</v>
      </c>
      <c r="Q1577" t="n">
        <v>-95</v>
      </c>
      <c r="R1577" t="n">
        <v>0.10645</v>
      </c>
      <c r="S1577">
        <f>IMAGE("https://mitra.stanford.edu/kundaje/oak/projects/neuro-variants/variant_position/credible/roussos_2024/variant_figures/roussos_2024.adolescence.Astrocyte/rs9646399_count_position.png",4,220,900)</f>
        <v/>
      </c>
      <c r="T1577">
        <f>IMAGE("https://mitra.stanford.edu/kundaje/oak/projects/neuro-variants/variant_position/credible/roussos_2024/variant_figures/roussos_2024.adolescence.Astrocyte/rs9646399_profile_position.png",4,220,900)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0.142089284</v>
      </c>
      <c r="G1578" t="n">
        <v>0.044484170327061</v>
      </c>
      <c r="H1578" t="n">
        <v>0.0156715239791757</v>
      </c>
      <c r="I1578" t="n">
        <v>0.2871072038565022</v>
      </c>
      <c r="J1578" t="n">
        <v>0.9892605999465924</v>
      </c>
      <c r="K1578" t="n">
        <v>4.161428937094746e-06</v>
      </c>
      <c r="L1578" t="b">
        <v>0</v>
      </c>
      <c r="M1578" t="b">
        <v>0</v>
      </c>
      <c r="N1578" t="inlineStr">
        <is>
          <t>alt</t>
        </is>
      </c>
      <c r="O1578" t="n">
        <v>-5</v>
      </c>
      <c r="P1578" t="n">
        <v>0.00464</v>
      </c>
      <c r="Q1578" t="n">
        <v>25</v>
      </c>
      <c r="R1578" t="n">
        <v>0.0801</v>
      </c>
      <c r="S1578">
        <f>IMAGE("https://mitra.stanford.edu/kundaje/oak/projects/neuro-variants/variant_position/credible/roussos_2024/variant_figures/roussos_2024.adolescence.Astrocyte/rs2051975_count_position.png",4,220,900)</f>
        <v/>
      </c>
      <c r="T1578">
        <f>IMAGE("https://mitra.stanford.edu/kundaje/oak/projects/neuro-variants/variant_position/credible/roussos_2024/variant_figures/roussos_2024.adolescence.Astrocyte/rs2051975_profile_position.png",4,220,900)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0.104511574</v>
      </c>
      <c r="G1579" t="n">
        <v>0.0806955575673453</v>
      </c>
      <c r="H1579" t="n">
        <v>0.0198312520262522</v>
      </c>
      <c r="I1579" t="n">
        <v>0.1434132124840585</v>
      </c>
      <c r="J1579" t="n">
        <v>0.6956502388511409</v>
      </c>
      <c r="K1579" t="n">
        <v>0.0186569670893815</v>
      </c>
      <c r="L1579" t="b">
        <v>0</v>
      </c>
      <c r="M1579" t="b">
        <v>0</v>
      </c>
      <c r="N1579" t="inlineStr">
        <is>
          <t>alt</t>
        </is>
      </c>
      <c r="O1579" t="n">
        <v>10</v>
      </c>
      <c r="P1579" t="n">
        <v>0.003159</v>
      </c>
      <c r="Q1579" t="n">
        <v>5</v>
      </c>
      <c r="R1579" t="n">
        <v>0.04346</v>
      </c>
      <c r="S1579">
        <f>IMAGE("https://mitra.stanford.edu/kundaje/oak/projects/neuro-variants/variant_position/credible/roussos_2024/variant_figures/roussos_2024.adolescence.Astrocyte/rs1889018_count_position.png",4,220,900)</f>
        <v/>
      </c>
      <c r="T1579">
        <f>IMAGE("https://mitra.stanford.edu/kundaje/oak/projects/neuro-variants/variant_position/credible/roussos_2024/variant_figures/roussos_2024.adolescence.Astrocyte/rs1889018_profile_position.png",4,220,900)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0.0340560424199999</v>
      </c>
      <c r="G1580" t="n">
        <v>0.3837596614767906</v>
      </c>
      <c r="H1580" t="n">
        <v>0.0601422060702319</v>
      </c>
      <c r="I1580" t="n">
        <v>0.0018962185342958</v>
      </c>
      <c r="J1580" t="n">
        <v>0.0905357089873304</v>
      </c>
      <c r="K1580" t="n">
        <v>0.3393691223175198</v>
      </c>
      <c r="L1580" t="b">
        <v>1</v>
      </c>
      <c r="M1580" t="b">
        <v>1</v>
      </c>
      <c r="N1580" t="inlineStr">
        <is>
          <t>alt</t>
        </is>
      </c>
      <c r="O1580" t="n">
        <v>-100</v>
      </c>
      <c r="P1580" t="n">
        <v>0.00876</v>
      </c>
      <c r="Q1580" t="n">
        <v>100</v>
      </c>
      <c r="R1580" t="n">
        <v>0.2041</v>
      </c>
      <c r="S1580">
        <f>IMAGE("https://mitra.stanford.edu/kundaje/oak/projects/neuro-variants/variant_position/credible/roussos_2024/variant_figures/roussos_2024.adolescence.Astrocyte/rs56886154_count_position.png",4,220,900)</f>
        <v/>
      </c>
      <c r="T1580">
        <f>IMAGE("https://mitra.stanford.edu/kundaje/oak/projects/neuro-variants/variant_position/credible/roussos_2024/variant_figures/roussos_2024.adolescence.Astrocyte/rs56886154_profile_position.png",4,220,900)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-0.0398081198</v>
      </c>
      <c r="G1581" t="n">
        <v>0.3199748367633195</v>
      </c>
      <c r="H1581" t="n">
        <v>0.0558149086169822</v>
      </c>
      <c r="I1581" t="n">
        <v>0.0025176296216594</v>
      </c>
      <c r="J1581" t="n">
        <v>0.6401989437142094</v>
      </c>
      <c r="K1581" t="n">
        <v>0.0268869234921412</v>
      </c>
      <c r="L1581" t="b">
        <v>1</v>
      </c>
      <c r="M1581" t="b">
        <v>1</v>
      </c>
      <c r="N1581" t="inlineStr">
        <is>
          <t>ref</t>
        </is>
      </c>
      <c r="O1581" t="n">
        <v>95</v>
      </c>
      <c r="P1581" t="n">
        <v>0.01143</v>
      </c>
      <c r="Q1581" t="n">
        <v>-100</v>
      </c>
      <c r="R1581" t="n">
        <v>0.2593</v>
      </c>
      <c r="S1581">
        <f>IMAGE("https://mitra.stanford.edu/kundaje/oak/projects/neuro-variants/variant_position/credible/roussos_2024/variant_figures/roussos_2024.adolescence.Astrocyte/rs4273100_count_position.png",4,220,900)</f>
        <v/>
      </c>
      <c r="T1581">
        <f>IMAGE("https://mitra.stanford.edu/kundaje/oak/projects/neuro-variants/variant_position/credible/roussos_2024/variant_figures/roussos_2024.adolescence.Astrocyte/rs4273100_profile_position.png",4,220,900)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0.1261646263999999</v>
      </c>
      <c r="G1582" t="n">
        <v>0.0545689920303456</v>
      </c>
      <c r="H1582" t="n">
        <v>0.0251548912629891</v>
      </c>
      <c r="I1582" t="n">
        <v>0.0648501945972953</v>
      </c>
      <c r="J1582" t="n">
        <v>0.2491165474883541</v>
      </c>
      <c r="K1582" t="n">
        <v>0.1662042240359171</v>
      </c>
      <c r="L1582" t="b">
        <v>0</v>
      </c>
      <c r="M1582" t="b">
        <v>0</v>
      </c>
      <c r="N1582" t="inlineStr">
        <is>
          <t>alt</t>
        </is>
      </c>
      <c r="O1582" t="n">
        <v>60</v>
      </c>
      <c r="P1582" t="n">
        <v>0.004818</v>
      </c>
      <c r="Q1582" t="n">
        <v>95</v>
      </c>
      <c r="R1582" t="n">
        <v>0.1619</v>
      </c>
      <c r="S1582">
        <f>IMAGE("https://mitra.stanford.edu/kundaje/oak/projects/neuro-variants/variant_position/credible/roussos_2024/variant_figures/roussos_2024.adolescence.Astrocyte/rs28760541_count_position.png",4,220,900)</f>
        <v/>
      </c>
      <c r="T1582">
        <f>IMAGE("https://mitra.stanford.edu/kundaje/oak/projects/neuro-variants/variant_position/credible/roussos_2024/variant_figures/roussos_2024.adolescence.Astrocyte/rs28760541_profile_position.png",4,220,900)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-0.1075263332</v>
      </c>
      <c r="G1583" t="n">
        <v>0.0694262776112389</v>
      </c>
      <c r="H1583" t="n">
        <v>0.0233894172184662</v>
      </c>
      <c r="I1583" t="n">
        <v>0.08160226320369821</v>
      </c>
      <c r="J1583" t="n">
        <v>0.1340748598047651</v>
      </c>
      <c r="K1583" t="n">
        <v>0.2768219200011823</v>
      </c>
      <c r="L1583" t="b">
        <v>0</v>
      </c>
      <c r="M1583" t="b">
        <v>0</v>
      </c>
      <c r="N1583" t="inlineStr">
        <is>
          <t>ref</t>
        </is>
      </c>
      <c r="O1583" t="n">
        <v>95</v>
      </c>
      <c r="P1583" t="n">
        <v>0.007979999999999999</v>
      </c>
      <c r="Q1583" t="n">
        <v>-90</v>
      </c>
      <c r="R1583" t="n">
        <v>0.1022</v>
      </c>
      <c r="S1583">
        <f>IMAGE("https://mitra.stanford.edu/kundaje/oak/projects/neuro-variants/variant_position/credible/roussos_2024/variant_figures/roussos_2024.adolescence.Astrocyte/rs16960499_count_position.png",4,220,900)</f>
        <v/>
      </c>
      <c r="T1583">
        <f>IMAGE("https://mitra.stanford.edu/kundaje/oak/projects/neuro-variants/variant_position/credible/roussos_2024/variant_figures/roussos_2024.adolescence.Astrocyte/rs16960499_profile_position.png",4,220,900)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-0.0338817348</v>
      </c>
      <c r="G1584" t="n">
        <v>0.3796321506717658</v>
      </c>
      <c r="H1584" t="n">
        <v>0.0104997999326146</v>
      </c>
      <c r="I1584" t="n">
        <v>0.7078887530229294</v>
      </c>
      <c r="J1584" t="n">
        <v>0.1656707118060706</v>
      </c>
      <c r="K1584" t="n">
        <v>0.2518638890787588</v>
      </c>
      <c r="L1584" t="b">
        <v>0</v>
      </c>
      <c r="M1584" t="b">
        <v>0</v>
      </c>
      <c r="N1584" t="inlineStr">
        <is>
          <t>ref</t>
        </is>
      </c>
      <c r="O1584" t="n">
        <v>0</v>
      </c>
      <c r="P1584" t="n">
        <v>0</v>
      </c>
      <c r="Q1584" t="n">
        <v>-100</v>
      </c>
      <c r="R1584" t="n">
        <v>0.03992</v>
      </c>
      <c r="S1584">
        <f>IMAGE("https://mitra.stanford.edu/kundaje/oak/projects/neuro-variants/variant_position/credible/roussos_2024/variant_figures/roussos_2024.adolescence.Astrocyte/rs2048230_count_position.png",4,220,900)</f>
        <v/>
      </c>
      <c r="T1584">
        <f>IMAGE("https://mitra.stanford.edu/kundaje/oak/projects/neuro-variants/variant_position/credible/roussos_2024/variant_figures/roussos_2024.adolescence.Astrocyte/rs2048230_profile_position.png",4,220,900)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0.23683851</v>
      </c>
      <c r="G1585" t="n">
        <v>0.0119550629050342</v>
      </c>
      <c r="H1585" t="n">
        <v>0.0327009279725705</v>
      </c>
      <c r="I1585" t="n">
        <v>0.0242811181606945</v>
      </c>
      <c r="J1585" t="n">
        <v>0.5203446280746521</v>
      </c>
      <c r="K1585" t="n">
        <v>0.0509193503662757</v>
      </c>
      <c r="L1585" t="b">
        <v>1</v>
      </c>
      <c r="M1585" t="b">
        <v>0</v>
      </c>
      <c r="N1585" t="inlineStr">
        <is>
          <t>alt</t>
        </is>
      </c>
      <c r="O1585" t="n">
        <v>-90</v>
      </c>
      <c r="P1585" t="n">
        <v>0.004253</v>
      </c>
      <c r="Q1585" t="n">
        <v>-95</v>
      </c>
      <c r="R1585" t="n">
        <v>0.3984</v>
      </c>
      <c r="S1585">
        <f>IMAGE("https://mitra.stanford.edu/kundaje/oak/projects/neuro-variants/variant_position/credible/roussos_2024/variant_figures/roussos_2024.adolescence.Astrocyte/rs2428582_count_position.png",4,220,900)</f>
        <v/>
      </c>
      <c r="T1585">
        <f>IMAGE("https://mitra.stanford.edu/kundaje/oak/projects/neuro-variants/variant_position/credible/roussos_2024/variant_figures/roussos_2024.adolescence.Astrocyte/rs2428582_profile_position.png",4,220,900)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0.0446733768</v>
      </c>
      <c r="G1586" t="n">
        <v>0.2860205491065361</v>
      </c>
      <c r="H1586" t="n">
        <v>0.0184649351008454</v>
      </c>
      <c r="I1586" t="n">
        <v>0.1809232230027867</v>
      </c>
      <c r="J1586" t="n">
        <v>0.011725959113432</v>
      </c>
      <c r="K1586" t="n">
        <v>0.6506428664892848</v>
      </c>
      <c r="L1586" t="b">
        <v>0</v>
      </c>
      <c r="M1586" t="b">
        <v>0</v>
      </c>
      <c r="N1586" t="inlineStr">
        <is>
          <t>alt</t>
        </is>
      </c>
      <c r="O1586" t="n">
        <v>75</v>
      </c>
      <c r="P1586" t="n">
        <v>0.00796</v>
      </c>
      <c r="Q1586" t="n">
        <v>-100</v>
      </c>
      <c r="R1586" t="n">
        <v>0.0641</v>
      </c>
      <c r="S1586">
        <f>IMAGE("https://mitra.stanford.edu/kundaje/oak/projects/neuro-variants/variant_position/credible/roussos_2024/variant_figures/roussos_2024.adolescence.Astrocyte/rs9915039_count_position.png",4,220,900)</f>
        <v/>
      </c>
      <c r="T1586">
        <f>IMAGE("https://mitra.stanford.edu/kundaje/oak/projects/neuro-variants/variant_position/credible/roussos_2024/variant_figures/roussos_2024.adolescence.Astrocyte/rs9915039_profile_position.png",4,220,900)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0.1093789128</v>
      </c>
      <c r="G1587" t="n">
        <v>0.0684974927560601</v>
      </c>
      <c r="H1587" t="n">
        <v>0.0251556702867146</v>
      </c>
      <c r="I1587" t="n">
        <v>0.0630429494255027</v>
      </c>
      <c r="J1587" t="n">
        <v>0.1872822894104382</v>
      </c>
      <c r="K1587" t="n">
        <v>0.2142672353858581</v>
      </c>
      <c r="L1587" t="b">
        <v>0</v>
      </c>
      <c r="M1587" t="b">
        <v>0</v>
      </c>
      <c r="N1587" t="inlineStr">
        <is>
          <t>alt</t>
        </is>
      </c>
      <c r="O1587" t="n">
        <v>-70</v>
      </c>
      <c r="P1587" t="n">
        <v>0.004333</v>
      </c>
      <c r="Q1587" t="n">
        <v>-85</v>
      </c>
      <c r="R1587" t="n">
        <v>0.169</v>
      </c>
      <c r="S1587">
        <f>IMAGE("https://mitra.stanford.edu/kundaje/oak/projects/neuro-variants/variant_position/credible/roussos_2024/variant_figures/roussos_2024.adolescence.Astrocyte/rs28767032_count_position.png",4,220,900)</f>
        <v/>
      </c>
      <c r="T1587">
        <f>IMAGE("https://mitra.stanford.edu/kundaje/oak/projects/neuro-variants/variant_position/credible/roussos_2024/variant_figures/roussos_2024.adolescence.Astrocyte/rs28767032_profile_position.png",4,220,900)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-0.023065599</v>
      </c>
      <c r="G1588" t="n">
        <v>0.5177702732520213</v>
      </c>
      <c r="H1588" t="n">
        <v>0.0119296806976026</v>
      </c>
      <c r="I1588" t="n">
        <v>0.5611210373942408</v>
      </c>
      <c r="J1588" t="n">
        <v>0.0020784499896151</v>
      </c>
      <c r="K1588" t="n">
        <v>0.8341231439284289</v>
      </c>
      <c r="L1588" t="b">
        <v>0</v>
      </c>
      <c r="M1588" t="b">
        <v>0</v>
      </c>
      <c r="N1588" t="inlineStr">
        <is>
          <t>ref</t>
        </is>
      </c>
      <c r="O1588" t="n">
        <v>80</v>
      </c>
      <c r="P1588" t="n">
        <v>0.00923</v>
      </c>
      <c r="Q1588" t="n">
        <v>100</v>
      </c>
      <c r="R1588" t="n">
        <v>0.1394</v>
      </c>
      <c r="S1588">
        <f>IMAGE("https://mitra.stanford.edu/kundaje/oak/projects/neuro-variants/variant_position/credible/roussos_2024/variant_figures/roussos_2024.adolescence.Astrocyte/rs8082671_count_position.png",4,220,900)</f>
        <v/>
      </c>
      <c r="T1588">
        <f>IMAGE("https://mitra.stanford.edu/kundaje/oak/projects/neuro-variants/variant_position/credible/roussos_2024/variant_figures/roussos_2024.adolescence.Astrocyte/rs8082671_profile_position.png",4,220,900)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-0.0042363406199999</v>
      </c>
      <c r="G1589" t="n">
        <v>0.8266626565798594</v>
      </c>
      <c r="H1589" t="n">
        <v>0.0230199219711773</v>
      </c>
      <c r="I1589" t="n">
        <v>0.0843767338865546</v>
      </c>
      <c r="J1589" t="n">
        <v>0.0127948550574132</v>
      </c>
      <c r="K1589" t="n">
        <v>0.6436307150823164</v>
      </c>
      <c r="L1589" t="b">
        <v>0</v>
      </c>
      <c r="M1589" t="b">
        <v>0</v>
      </c>
      <c r="N1589" t="inlineStr">
        <is>
          <t>ref</t>
        </is>
      </c>
      <c r="O1589" t="n">
        <v>-45</v>
      </c>
      <c r="P1589" t="n">
        <v>0.09125</v>
      </c>
      <c r="Q1589" t="n">
        <v>-100</v>
      </c>
      <c r="R1589" t="n">
        <v>0.1761</v>
      </c>
      <c r="S1589">
        <f>IMAGE("https://mitra.stanford.edu/kundaje/oak/projects/neuro-variants/variant_position/credible/roussos_2024/variant_figures/roussos_2024.adolescence.Astrocyte/rs8065337_count_position.png",4,220,900)</f>
        <v/>
      </c>
      <c r="T1589">
        <f>IMAGE("https://mitra.stanford.edu/kundaje/oak/projects/neuro-variants/variant_position/credible/roussos_2024/variant_figures/roussos_2024.adolescence.Astrocyte/rs8065337_profile_position.png",4,220,900)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-0.0202534498</v>
      </c>
      <c r="G1590" t="n">
        <v>0.5515734874567783</v>
      </c>
      <c r="H1590" t="n">
        <v>0.0106550307757647</v>
      </c>
      <c r="I1590" t="n">
        <v>0.697294499260714</v>
      </c>
      <c r="J1590" t="n">
        <v>0.0070579770346852</v>
      </c>
      <c r="K1590" t="n">
        <v>0.7049554813312187</v>
      </c>
      <c r="L1590" t="b">
        <v>0</v>
      </c>
      <c r="M1590" t="b">
        <v>0</v>
      </c>
      <c r="N1590" t="inlineStr">
        <is>
          <t>ref</t>
        </is>
      </c>
      <c r="O1590" t="n">
        <v>-30</v>
      </c>
      <c r="P1590" t="n">
        <v>0.002518</v>
      </c>
      <c r="Q1590" t="n">
        <v>100</v>
      </c>
      <c r="R1590" t="n">
        <v>0.02658</v>
      </c>
      <c r="S1590">
        <f>IMAGE("https://mitra.stanford.edu/kundaje/oak/projects/neuro-variants/variant_position/credible/roussos_2024/variant_figures/roussos_2024.adolescence.Astrocyte/rs28807825_count_position.png",4,220,900)</f>
        <v/>
      </c>
      <c r="T1590">
        <f>IMAGE("https://mitra.stanford.edu/kundaje/oak/projects/neuro-variants/variant_position/credible/roussos_2024/variant_figures/roussos_2024.adolescence.Astrocyte/rs28807825_profile_position.png",4,220,900)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-0.0090437631799999</v>
      </c>
      <c r="G1591" t="n">
        <v>0.5960889613253494</v>
      </c>
      <c r="H1591" t="n">
        <v>0.0159370540743919</v>
      </c>
      <c r="I1591" t="n">
        <v>0.2799878104497227</v>
      </c>
      <c r="J1591" t="n">
        <v>0.1219164466071269</v>
      </c>
      <c r="K1591" t="n">
        <v>0.2948273447633268</v>
      </c>
      <c r="L1591" t="b">
        <v>0</v>
      </c>
      <c r="M1591" t="b">
        <v>0</v>
      </c>
      <c r="N1591" t="inlineStr">
        <is>
          <t>ref</t>
        </is>
      </c>
      <c r="O1591" t="n">
        <v>100</v>
      </c>
      <c r="P1591" t="n">
        <v>0.00906</v>
      </c>
      <c r="Q1591" t="n">
        <v>100</v>
      </c>
      <c r="R1591" t="n">
        <v>0.2205</v>
      </c>
      <c r="S1591">
        <f>IMAGE("https://mitra.stanford.edu/kundaje/oak/projects/neuro-variants/variant_position/credible/roussos_2024/variant_figures/roussos_2024.adolescence.Astrocyte/rs9914328_count_position.png",4,220,900)</f>
        <v/>
      </c>
      <c r="T1591">
        <f>IMAGE("https://mitra.stanford.edu/kundaje/oak/projects/neuro-variants/variant_position/credible/roussos_2024/variant_figures/roussos_2024.adolescence.Astrocyte/rs9914328_profile_position.png",4,220,900)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0.0836330866</v>
      </c>
      <c r="G1592" t="n">
        <v>0.1317022656447569</v>
      </c>
      <c r="H1592" t="n">
        <v>0.0364933318169263</v>
      </c>
      <c r="I1592" t="n">
        <v>0.0235226279375105</v>
      </c>
      <c r="J1592" t="n">
        <v>0.2208082366554905</v>
      </c>
      <c r="K1592" t="n">
        <v>0.1879326283123887</v>
      </c>
      <c r="L1592" t="b">
        <v>0</v>
      </c>
      <c r="M1592" t="b">
        <v>0</v>
      </c>
      <c r="N1592" t="inlineStr">
        <is>
          <t>alt</t>
        </is>
      </c>
      <c r="O1592" t="n">
        <v>-95</v>
      </c>
      <c r="P1592" t="n">
        <v>0.00702</v>
      </c>
      <c r="Q1592" t="n">
        <v>-100</v>
      </c>
      <c r="R1592" t="n">
        <v>0.315</v>
      </c>
      <c r="S1592">
        <f>IMAGE("https://mitra.stanford.edu/kundaje/oak/projects/neuro-variants/variant_position/credible/roussos_2024/variant_figures/roussos_2024.adolescence.Astrocyte/rs7221669_count_position.png",4,220,900)</f>
        <v/>
      </c>
      <c r="T1592">
        <f>IMAGE("https://mitra.stanford.edu/kundaje/oak/projects/neuro-variants/variant_position/credible/roussos_2024/variant_figures/roussos_2024.adolescence.Astrocyte/rs7221669_profile_position.png",4,220,900)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-0.0458286829999999</v>
      </c>
      <c r="G1593" t="n">
        <v>0.175115762534573</v>
      </c>
      <c r="H1593" t="n">
        <v>0.0131175776240422</v>
      </c>
      <c r="I1593" t="n">
        <v>0.4461840365786704</v>
      </c>
      <c r="J1593" t="n">
        <v>0.1450827819481944</v>
      </c>
      <c r="K1593" t="n">
        <v>0.2605665220461218</v>
      </c>
      <c r="L1593" t="b">
        <v>0</v>
      </c>
      <c r="M1593" t="b">
        <v>0</v>
      </c>
      <c r="N1593" t="inlineStr">
        <is>
          <t>ref</t>
        </is>
      </c>
      <c r="O1593" t="n">
        <v>-50</v>
      </c>
      <c r="P1593" t="n">
        <v>0.002441</v>
      </c>
      <c r="Q1593" t="n">
        <v>90</v>
      </c>
      <c r="R1593" t="n">
        <v>0.1533</v>
      </c>
      <c r="S1593">
        <f>IMAGE("https://mitra.stanford.edu/kundaje/oak/projects/neuro-variants/variant_position/credible/roussos_2024/variant_figures/roussos_2024.adolescence.Astrocyte/rs3909257_count_position.png",4,220,900)</f>
        <v/>
      </c>
      <c r="T1593">
        <f>IMAGE("https://mitra.stanford.edu/kundaje/oak/projects/neuro-variants/variant_position/credible/roussos_2024/variant_figures/roussos_2024.adolescence.Astrocyte/rs3909257_profile_position.png",4,220,900)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0.0408065362</v>
      </c>
      <c r="G1594" t="n">
        <v>0.2656819361639532</v>
      </c>
      <c r="H1594" t="n">
        <v>0.019279531554749</v>
      </c>
      <c r="I1594" t="n">
        <v>0.1540983810217137</v>
      </c>
      <c r="J1594" t="n">
        <v>0.0085289143399696</v>
      </c>
      <c r="K1594" t="n">
        <v>0.6849182717358211</v>
      </c>
      <c r="L1594" t="b">
        <v>0</v>
      </c>
      <c r="M1594" t="b">
        <v>0</v>
      </c>
      <c r="N1594" t="inlineStr">
        <is>
          <t>alt</t>
        </is>
      </c>
      <c r="O1594" t="n">
        <v>-90</v>
      </c>
      <c r="P1594" t="n">
        <v>0.01015</v>
      </c>
      <c r="Q1594" t="n">
        <v>65</v>
      </c>
      <c r="R1594" t="n">
        <v>0.03406</v>
      </c>
      <c r="S1594">
        <f>IMAGE("https://mitra.stanford.edu/kundaje/oak/projects/neuro-variants/variant_position/credible/roussos_2024/variant_figures/roussos_2024.adolescence.Astrocyte/rs4925077_count_position.png",4,220,900)</f>
        <v/>
      </c>
      <c r="T1594">
        <f>IMAGE("https://mitra.stanford.edu/kundaje/oak/projects/neuro-variants/variant_position/credible/roussos_2024/variant_figures/roussos_2024.adolescence.Astrocyte/rs4925077_profile_position.png",4,220,900)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-0.263930252</v>
      </c>
      <c r="G1595" t="n">
        <v>0.0088425379838439</v>
      </c>
      <c r="H1595" t="n">
        <v>0.0297045184073888</v>
      </c>
      <c r="I1595" t="n">
        <v>0.0329371236343698</v>
      </c>
      <c r="J1595" t="n">
        <v>0.1984971664243539</v>
      </c>
      <c r="K1595" t="n">
        <v>0.2050786578782776</v>
      </c>
      <c r="L1595" t="b">
        <v>1</v>
      </c>
      <c r="M1595" t="b">
        <v>1</v>
      </c>
      <c r="N1595" t="inlineStr">
        <is>
          <t>ref</t>
        </is>
      </c>
      <c r="O1595" t="n">
        <v>-100</v>
      </c>
      <c r="P1595" t="n">
        <v>0.02072</v>
      </c>
      <c r="Q1595" t="n">
        <v>-100</v>
      </c>
      <c r="R1595" t="n">
        <v>0.2969</v>
      </c>
      <c r="S1595">
        <f>IMAGE("https://mitra.stanford.edu/kundaje/oak/projects/neuro-variants/variant_position/credible/roussos_2024/variant_figures/roussos_2024.adolescence.Astrocyte/rs35602968_count_position.png",4,220,900)</f>
        <v/>
      </c>
      <c r="T1595">
        <f>IMAGE("https://mitra.stanford.edu/kundaje/oak/projects/neuro-variants/variant_position/credible/roussos_2024/variant_figures/roussos_2024.adolescence.Astrocyte/rs35602968_profile_position.png",4,220,900)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0.0111804215799999</v>
      </c>
      <c r="G1596" t="n">
        <v>0.7115874217653191</v>
      </c>
      <c r="H1596" t="n">
        <v>0.0125166429554331</v>
      </c>
      <c r="I1596" t="n">
        <v>0.5076200512969493</v>
      </c>
      <c r="J1596" t="n">
        <v>0.0588745808978428</v>
      </c>
      <c r="K1596" t="n">
        <v>0.4075862652272822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0.03677</v>
      </c>
      <c r="Q1596" t="n">
        <v>-85</v>
      </c>
      <c r="R1596" t="n">
        <v>0.1946</v>
      </c>
      <c r="S1596">
        <f>IMAGE("https://mitra.stanford.edu/kundaje/oak/projects/neuro-variants/variant_position/credible/roussos_2024/variant_figures/roussos_2024.adolescence.Astrocyte/rs7212500_count_position.png",4,220,900)</f>
        <v/>
      </c>
      <c r="T1596">
        <f>IMAGE("https://mitra.stanford.edu/kundaje/oak/projects/neuro-variants/variant_position/credible/roussos_2024/variant_figures/roussos_2024.adolescence.Astrocyte/rs7212500_profile_position.png",4,220,900)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0.149974007</v>
      </c>
      <c r="G1597" t="n">
        <v>0.0442250066415055</v>
      </c>
      <c r="H1597" t="n">
        <v>0.0176774074952441</v>
      </c>
      <c r="I1597" t="n">
        <v>0.2017620214391427</v>
      </c>
      <c r="J1597" t="n">
        <v>0.2139905943091119</v>
      </c>
      <c r="K1597" t="n">
        <v>0.1907765864562154</v>
      </c>
      <c r="L1597" t="b">
        <v>0</v>
      </c>
      <c r="M1597" t="b">
        <v>0</v>
      </c>
      <c r="N1597" t="inlineStr">
        <is>
          <t>alt</t>
        </is>
      </c>
      <c r="O1597" t="n">
        <v>-75</v>
      </c>
      <c r="P1597" t="n">
        <v>0.0511</v>
      </c>
      <c r="Q1597" t="n">
        <v>-70</v>
      </c>
      <c r="R1597" t="n">
        <v>0.2375</v>
      </c>
      <c r="S1597">
        <f>IMAGE("https://mitra.stanford.edu/kundaje/oak/projects/neuro-variants/variant_position/credible/roussos_2024/variant_figures/roussos_2024.adolescence.Astrocyte/rs2703777_count_position.png",4,220,900)</f>
        <v/>
      </c>
      <c r="T1597">
        <f>IMAGE("https://mitra.stanford.edu/kundaje/oak/projects/neuro-variants/variant_position/credible/roussos_2024/variant_figures/roussos_2024.adolescence.Astrocyte/rs2703777_profile_position.png",4,220,900)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0.01157512198</v>
      </c>
      <c r="G1598" t="n">
        <v>0.6950533245387157</v>
      </c>
      <c r="H1598" t="n">
        <v>0.008727428088206099</v>
      </c>
      <c r="I1598" t="n">
        <v>0.8557731909639048</v>
      </c>
      <c r="J1598" t="n">
        <v>0.2422425303385455</v>
      </c>
      <c r="K1598" t="n">
        <v>0.1715573221411758</v>
      </c>
      <c r="L1598" t="b">
        <v>0</v>
      </c>
      <c r="M1598" t="b">
        <v>0</v>
      </c>
      <c r="N1598" t="inlineStr">
        <is>
          <t>alt</t>
        </is>
      </c>
      <c r="O1598" t="n">
        <v>10</v>
      </c>
      <c r="P1598" t="n">
        <v>0.002487</v>
      </c>
      <c r="Q1598" t="n">
        <v>100</v>
      </c>
      <c r="R1598" t="n">
        <v>0.2029</v>
      </c>
      <c r="S1598">
        <f>IMAGE("https://mitra.stanford.edu/kundaje/oak/projects/neuro-variants/variant_position/credible/roussos_2024/variant_figures/roussos_2024.adolescence.Astrocyte/rs2158472_count_position.png",4,220,900)</f>
        <v/>
      </c>
      <c r="T1598">
        <f>IMAGE("https://mitra.stanford.edu/kundaje/oak/projects/neuro-variants/variant_position/credible/roussos_2024/variant_figures/roussos_2024.adolescence.Astrocyte/rs2158472_profile_position.png",4,220,900)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-0.0012368</v>
      </c>
      <c r="G1599" t="n">
        <v>0.7004117498678646</v>
      </c>
      <c r="H1599" t="n">
        <v>0.0317526496495559</v>
      </c>
      <c r="I1599" t="n">
        <v>0.0251447286361671</v>
      </c>
      <c r="J1599" t="n">
        <v>0.2481767201732783</v>
      </c>
      <c r="K1599" t="n">
        <v>0.1665268283523851</v>
      </c>
      <c r="L1599" t="b">
        <v>0</v>
      </c>
      <c r="M1599" t="b">
        <v>0</v>
      </c>
      <c r="N1599" t="inlineStr">
        <is>
          <t>ref</t>
        </is>
      </c>
      <c r="O1599" t="n">
        <v>-55</v>
      </c>
      <c r="P1599" t="n">
        <v>0.01141</v>
      </c>
      <c r="Q1599" t="n">
        <v>-95</v>
      </c>
      <c r="R1599" t="n">
        <v>0.1285</v>
      </c>
      <c r="S1599">
        <f>IMAGE("https://mitra.stanford.edu/kundaje/oak/projects/neuro-variants/variant_position/credible/roussos_2024/variant_figures/roussos_2024.adolescence.Astrocyte/rs72625942_count_position.png",4,220,900)</f>
        <v/>
      </c>
      <c r="T1599">
        <f>IMAGE("https://mitra.stanford.edu/kundaje/oak/projects/neuro-variants/variant_position/credible/roussos_2024/variant_figures/roussos_2024.adolescence.Astrocyte/rs72625942_profile_position.png",4,220,900)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-0.009906099414000001</v>
      </c>
      <c r="G1600" t="n">
        <v>0.639858366741561</v>
      </c>
      <c r="H1600" t="n">
        <v>0.0167815770726367</v>
      </c>
      <c r="I1600" t="n">
        <v>0.2357014849508285</v>
      </c>
      <c r="J1600" t="n">
        <v>0.0043705308132806</v>
      </c>
      <c r="K1600" t="n">
        <v>0.7635650831726289</v>
      </c>
      <c r="L1600" t="b">
        <v>0</v>
      </c>
      <c r="M1600" t="b">
        <v>0</v>
      </c>
      <c r="N1600" t="inlineStr">
        <is>
          <t>ref</t>
        </is>
      </c>
      <c r="O1600" t="n">
        <v>65</v>
      </c>
      <c r="P1600" t="n">
        <v>0.007812</v>
      </c>
      <c r="Q1600" t="n">
        <v>50</v>
      </c>
      <c r="R1600" t="n">
        <v>0.04553</v>
      </c>
      <c r="S1600">
        <f>IMAGE("https://mitra.stanford.edu/kundaje/oak/projects/neuro-variants/variant_position/credible/roussos_2024/variant_figures/roussos_2024.adolescence.Astrocyte/rs117001874_count_position.png",4,220,900)</f>
        <v/>
      </c>
      <c r="T1600">
        <f>IMAGE("https://mitra.stanford.edu/kundaje/oak/projects/neuro-variants/variant_position/credible/roussos_2024/variant_figures/roussos_2024.adolescence.Astrocyte/rs117001874_profile_position.png",4,220,900)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0.01793301966</v>
      </c>
      <c r="G1601" t="n">
        <v>0.5789774536621324</v>
      </c>
      <c r="H1601" t="n">
        <v>0.01634818183476</v>
      </c>
      <c r="I1601" t="n">
        <v>0.2522302559233427</v>
      </c>
      <c r="J1601" t="n">
        <v>0.2046605643414532</v>
      </c>
      <c r="K1601" t="n">
        <v>0.2044153109586334</v>
      </c>
      <c r="L1601" t="b">
        <v>0</v>
      </c>
      <c r="M1601" t="b">
        <v>0</v>
      </c>
      <c r="N1601" t="inlineStr">
        <is>
          <t>alt</t>
        </is>
      </c>
      <c r="O1601" t="n">
        <v>100</v>
      </c>
      <c r="P1601" t="n">
        <v>0.01106</v>
      </c>
      <c r="Q1601" t="n">
        <v>-70</v>
      </c>
      <c r="R1601" t="n">
        <v>0.04858</v>
      </c>
      <c r="S1601">
        <f>IMAGE("https://mitra.stanford.edu/kundaje/oak/projects/neuro-variants/variant_position/credible/roussos_2024/variant_figures/roussos_2024.adolescence.Astrocyte/rs72625945_count_position.png",4,220,900)</f>
        <v/>
      </c>
      <c r="T1601">
        <f>IMAGE("https://mitra.stanford.edu/kundaje/oak/projects/neuro-variants/variant_position/credible/roussos_2024/variant_figures/roussos_2024.adolescence.Astrocyte/rs72625945_profile_position.png",4,220,900)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-0.0779267932</v>
      </c>
      <c r="G1602" t="n">
        <v>0.1343831005795929</v>
      </c>
      <c r="H1602" t="n">
        <v>0.0169747278377657</v>
      </c>
      <c r="I1602" t="n">
        <v>0.2264237537454469</v>
      </c>
      <c r="J1602" t="n">
        <v>0.7188751743168262</v>
      </c>
      <c r="K1602" t="n">
        <v>0.0155280885876709</v>
      </c>
      <c r="L1602" t="b">
        <v>0</v>
      </c>
      <c r="M1602" t="b">
        <v>0</v>
      </c>
      <c r="N1602" t="inlineStr">
        <is>
          <t>ref</t>
        </is>
      </c>
      <c r="O1602" t="n">
        <v>100</v>
      </c>
      <c r="P1602" t="n">
        <v>0.015144</v>
      </c>
      <c r="Q1602" t="n">
        <v>-100</v>
      </c>
      <c r="R1602" t="n">
        <v>0.09717000000000001</v>
      </c>
      <c r="S1602">
        <f>IMAGE("https://mitra.stanford.edu/kundaje/oak/projects/neuro-variants/variant_position/credible/roussos_2024/variant_figures/roussos_2024.adolescence.Astrocyte/rs76297940_count_position.png",4,220,900)</f>
        <v/>
      </c>
      <c r="T1602">
        <f>IMAGE("https://mitra.stanford.edu/kundaje/oak/projects/neuro-variants/variant_position/credible/roussos_2024/variant_figures/roussos_2024.adolescence.Astrocyte/rs76297940_profile_position.png",4,220,900)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-0.00946961166</v>
      </c>
      <c r="G1603" t="n">
        <v>0.7714786188491782</v>
      </c>
      <c r="H1603" t="n">
        <v>0.0250330118879188</v>
      </c>
      <c r="I1603" t="n">
        <v>0.063142180669267</v>
      </c>
      <c r="J1603" t="n">
        <v>0.0031695991454766</v>
      </c>
      <c r="K1603" t="n">
        <v>0.7825336024624792</v>
      </c>
      <c r="L1603" t="b">
        <v>0</v>
      </c>
      <c r="M1603" t="b">
        <v>0</v>
      </c>
      <c r="N1603" t="inlineStr">
        <is>
          <t>ref</t>
        </is>
      </c>
      <c r="O1603" t="n">
        <v>-20</v>
      </c>
      <c r="P1603" t="n">
        <v>0.001184</v>
      </c>
      <c r="Q1603" t="n">
        <v>-70</v>
      </c>
      <c r="R1603" t="n">
        <v>0.094</v>
      </c>
      <c r="S1603">
        <f>IMAGE("https://mitra.stanford.edu/kundaje/oak/projects/neuro-variants/variant_position/credible/roussos_2024/variant_figures/roussos_2024.adolescence.Astrocyte/rs383241_count_position.png",4,220,900)</f>
        <v/>
      </c>
      <c r="T1603">
        <f>IMAGE("https://mitra.stanford.edu/kundaje/oak/projects/neuro-variants/variant_position/credible/roussos_2024/variant_figures/roussos_2024.adolescence.Astrocyte/rs383241_profile_position.png",4,220,900)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-0.011124441</v>
      </c>
      <c r="G1604" t="n">
        <v>0.7204977484218724</v>
      </c>
      <c r="H1604" t="n">
        <v>0.0295972556680862</v>
      </c>
      <c r="I1604" t="n">
        <v>0.0329591679122074</v>
      </c>
      <c r="J1604" t="n">
        <v>0.0274122481678188</v>
      </c>
      <c r="K1604" t="n">
        <v>0.5284717249006251</v>
      </c>
      <c r="L1604" t="b">
        <v>0</v>
      </c>
      <c r="M1604" t="b">
        <v>0</v>
      </c>
      <c r="N1604" t="inlineStr">
        <is>
          <t>ref</t>
        </is>
      </c>
      <c r="O1604" t="n">
        <v>85</v>
      </c>
      <c r="P1604" t="n">
        <v>0.007202</v>
      </c>
      <c r="Q1604" t="n">
        <v>60</v>
      </c>
      <c r="R1604" t="n">
        <v>0.039</v>
      </c>
      <c r="S1604">
        <f>IMAGE("https://mitra.stanford.edu/kundaje/oak/projects/neuro-variants/variant_position/credible/roussos_2024/variant_figures/roussos_2024.adolescence.Astrocyte/rs81632_count_position.png",4,220,900)</f>
        <v/>
      </c>
      <c r="T1604">
        <f>IMAGE("https://mitra.stanford.edu/kundaje/oak/projects/neuro-variants/variant_position/credible/roussos_2024/variant_figures/roussos_2024.adolescence.Astrocyte/rs81632_profile_position.png",4,220,900)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0.0580593801999999</v>
      </c>
      <c r="G1605" t="n">
        <v>0.1924956602958673</v>
      </c>
      <c r="H1605" t="n">
        <v>0.0136037971120318</v>
      </c>
      <c r="I1605" t="n">
        <v>0.4135254699060149</v>
      </c>
      <c r="J1605" t="n">
        <v>0.0061849093552502</v>
      </c>
      <c r="K1605" t="n">
        <v>0.7189902769838248</v>
      </c>
      <c r="L1605" t="b">
        <v>0</v>
      </c>
      <c r="M1605" t="b">
        <v>0</v>
      </c>
      <c r="N1605" t="inlineStr">
        <is>
          <t>alt</t>
        </is>
      </c>
      <c r="O1605" t="n">
        <v>55</v>
      </c>
      <c r="P1605" t="n">
        <v>0.00254</v>
      </c>
      <c r="Q1605" t="n">
        <v>-100</v>
      </c>
      <c r="R1605" t="n">
        <v>0.1129</v>
      </c>
      <c r="S1605">
        <f>IMAGE("https://mitra.stanford.edu/kundaje/oak/projects/neuro-variants/variant_position/credible/roussos_2024/variant_figures/roussos_2024.adolescence.Astrocyte/rs2942169_count_position.png",4,220,900)</f>
        <v/>
      </c>
      <c r="T1605">
        <f>IMAGE("https://mitra.stanford.edu/kundaje/oak/projects/neuro-variants/variant_position/credible/roussos_2024/variant_figures/roussos_2024.adolescence.Astrocyte/rs2942169_profile_position.png",4,220,900)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0.0868439548</v>
      </c>
      <c r="G1606" t="n">
        <v>0.1040736039621195</v>
      </c>
      <c r="H1606" t="n">
        <v>0.0139267745320864</v>
      </c>
      <c r="I1606" t="n">
        <v>0.3951522859863457</v>
      </c>
      <c r="J1606" t="n">
        <v>0.223156692282586</v>
      </c>
      <c r="K1606" t="n">
        <v>0.1861885404863777</v>
      </c>
      <c r="L1606" t="b">
        <v>0</v>
      </c>
      <c r="M1606" t="b">
        <v>0</v>
      </c>
      <c r="N1606" t="inlineStr">
        <is>
          <t>alt</t>
        </is>
      </c>
      <c r="O1606" t="n">
        <v>100</v>
      </c>
      <c r="P1606" t="n">
        <v>0.01651</v>
      </c>
      <c r="Q1606" t="n">
        <v>-100</v>
      </c>
      <c r="R1606" t="n">
        <v>0.3323</v>
      </c>
      <c r="S1606">
        <f>IMAGE("https://mitra.stanford.edu/kundaje/oak/projects/neuro-variants/variant_position/credible/roussos_2024/variant_figures/roussos_2024.adolescence.Astrocyte/rs241041_count_position.png",4,220,900)</f>
        <v/>
      </c>
      <c r="T1606">
        <f>IMAGE("https://mitra.stanford.edu/kundaje/oak/projects/neuro-variants/variant_position/credible/roussos_2024/variant_figures/roussos_2024.adolescence.Astrocyte/rs241041_profile_position.png",4,220,900)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0.00855676258</v>
      </c>
      <c r="G1607" t="n">
        <v>0.7623553234323681</v>
      </c>
      <c r="H1607" t="n">
        <v>0.0345108394090556</v>
      </c>
      <c r="I1607" t="n">
        <v>0.0179374196888515</v>
      </c>
      <c r="J1607" t="n">
        <v>0.0031977865471916</v>
      </c>
      <c r="K1607" t="n">
        <v>0.781519505443155</v>
      </c>
      <c r="L1607" t="b">
        <v>0</v>
      </c>
      <c r="M1607" t="b">
        <v>0</v>
      </c>
      <c r="N1607" t="inlineStr">
        <is>
          <t>alt</t>
        </is>
      </c>
      <c r="O1607" t="n">
        <v>85</v>
      </c>
      <c r="P1607" t="n">
        <v>0.008670000000000001</v>
      </c>
      <c r="Q1607" t="n">
        <v>-95</v>
      </c>
      <c r="R1607" t="n">
        <v>0.1167</v>
      </c>
      <c r="S1607">
        <f>IMAGE("https://mitra.stanford.edu/kundaje/oak/projects/neuro-variants/variant_position/credible/roussos_2024/variant_figures/roussos_2024.adolescence.Astrocyte/rs117368197_count_position.png",4,220,900)</f>
        <v/>
      </c>
      <c r="T1607">
        <f>IMAGE("https://mitra.stanford.edu/kundaje/oak/projects/neuro-variants/variant_position/credible/roussos_2024/variant_figures/roussos_2024.adolescence.Astrocyte/rs117368197_profile_position.png",4,220,900)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0.0587382074</v>
      </c>
      <c r="G1608" t="n">
        <v>0.1999384253465606</v>
      </c>
      <c r="H1608" t="n">
        <v>0.0137132163673422</v>
      </c>
      <c r="I1608" t="n">
        <v>0.4131518341856818</v>
      </c>
      <c r="J1608" t="n">
        <v>0.140343589591431</v>
      </c>
      <c r="K1608" t="n">
        <v>0.2663791267920845</v>
      </c>
      <c r="L1608" t="b">
        <v>0</v>
      </c>
      <c r="M1608" t="b">
        <v>0</v>
      </c>
      <c r="N1608" t="inlineStr">
        <is>
          <t>alt</t>
        </is>
      </c>
      <c r="O1608" t="n">
        <v>-75</v>
      </c>
      <c r="P1608" t="n">
        <v>0.00932</v>
      </c>
      <c r="Q1608" t="n">
        <v>40</v>
      </c>
      <c r="R1608" t="n">
        <v>0.04834</v>
      </c>
      <c r="S1608">
        <f>IMAGE("https://mitra.stanford.edu/kundaje/oak/projects/neuro-variants/variant_position/credible/roussos_2024/variant_figures/roussos_2024.adolescence.Astrocyte/rs413778_count_position.png",4,220,900)</f>
        <v/>
      </c>
      <c r="T1608">
        <f>IMAGE("https://mitra.stanford.edu/kundaje/oak/projects/neuro-variants/variant_position/credible/roussos_2024/variant_figures/roussos_2024.adolescence.Astrocyte/rs413778_profile_position.png",4,220,900)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-0.0517658106</v>
      </c>
      <c r="G1609" t="n">
        <v>0.2329738483982391</v>
      </c>
      <c r="H1609" t="n">
        <v>0.0127137180005298</v>
      </c>
      <c r="I1609" t="n">
        <v>0.4896016613259258</v>
      </c>
      <c r="J1609" t="n">
        <v>0.0220603507106191</v>
      </c>
      <c r="K1609" t="n">
        <v>0.5544350475371035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0.03577</v>
      </c>
      <c r="Q1609" t="n">
        <v>100</v>
      </c>
      <c r="R1609" t="n">
        <v>0.133</v>
      </c>
      <c r="S1609">
        <f>IMAGE("https://mitra.stanford.edu/kundaje/oak/projects/neuro-variants/variant_position/credible/roussos_2024/variant_figures/roussos_2024.adolescence.Astrocyte/rs413917_count_position.png",4,220,900)</f>
        <v/>
      </c>
      <c r="T1609">
        <f>IMAGE("https://mitra.stanford.edu/kundaje/oak/projects/neuro-variants/variant_position/credible/roussos_2024/variant_figures/roussos_2024.adolescence.Astrocyte/rs413917_profile_position.png",4,220,900)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0.0398858232</v>
      </c>
      <c r="G1610" t="n">
        <v>0.3032622502338953</v>
      </c>
      <c r="H1610" t="n">
        <v>0.0163653898153702</v>
      </c>
      <c r="I1610" t="n">
        <v>0.2558855010347983</v>
      </c>
      <c r="J1610" t="n">
        <v>0.2851496899385811</v>
      </c>
      <c r="K1610" t="n">
        <v>0.1420710781659064</v>
      </c>
      <c r="L1610" t="b">
        <v>0</v>
      </c>
      <c r="M1610" t="b">
        <v>0</v>
      </c>
      <c r="N1610" t="inlineStr">
        <is>
          <t>alt</t>
        </is>
      </c>
      <c r="O1610" t="n">
        <v>95</v>
      </c>
      <c r="P1610" t="n">
        <v>0.01047</v>
      </c>
      <c r="Q1610" t="n">
        <v>45</v>
      </c>
      <c r="R1610" t="n">
        <v>0.2185</v>
      </c>
      <c r="S1610">
        <f>IMAGE("https://mitra.stanford.edu/kundaje/oak/projects/neuro-variants/variant_position/credible/roussos_2024/variant_figures/roussos_2024.adolescence.Astrocyte/rs393675_count_position.png",4,220,900)</f>
        <v/>
      </c>
      <c r="T1610">
        <f>IMAGE("https://mitra.stanford.edu/kundaje/oak/projects/neuro-variants/variant_position/credible/roussos_2024/variant_figures/roussos_2024.adolescence.Astrocyte/rs393675_profile_position.png",4,220,900)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0.2363201352</v>
      </c>
      <c r="G1611" t="n">
        <v>0.0117513581541254</v>
      </c>
      <c r="H1611" t="n">
        <v>0.0271903522609927</v>
      </c>
      <c r="I1611" t="n">
        <v>0.0466261438784904</v>
      </c>
      <c r="J1611" t="n">
        <v>0.7071900127585081</v>
      </c>
      <c r="K1611" t="n">
        <v>0.017378569387493</v>
      </c>
      <c r="L1611" t="b">
        <v>1</v>
      </c>
      <c r="M1611" t="b">
        <v>0</v>
      </c>
      <c r="N1611" t="inlineStr">
        <is>
          <t>alt</t>
        </is>
      </c>
      <c r="O1611" t="n">
        <v>95</v>
      </c>
      <c r="P1611" t="n">
        <v>0.01634</v>
      </c>
      <c r="Q1611" t="n">
        <v>95</v>
      </c>
      <c r="R1611" t="n">
        <v>0.1997</v>
      </c>
      <c r="S1611">
        <f>IMAGE("https://mitra.stanford.edu/kundaje/oak/projects/neuro-variants/variant_position/credible/roussos_2024/variant_figures/roussos_2024.adolescence.Astrocyte/rs434598_count_position.png",4,220,900)</f>
        <v/>
      </c>
      <c r="T1611">
        <f>IMAGE("https://mitra.stanford.edu/kundaje/oak/projects/neuro-variants/variant_position/credible/roussos_2024/variant_figures/roussos_2024.adolescence.Astrocyte/rs434598_profile_position.png",4,220,900)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-0.0609269711999999</v>
      </c>
      <c r="G1612" t="n">
        <v>0.1970655054698314</v>
      </c>
      <c r="H1612" t="n">
        <v>0.0212082581567462</v>
      </c>
      <c r="I1612" t="n">
        <v>0.1152251115465696</v>
      </c>
      <c r="J1612" t="n">
        <v>0.6416149897635225</v>
      </c>
      <c r="K1612" t="n">
        <v>0.0270194807135445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0.02988</v>
      </c>
      <c r="Q1612" t="n">
        <v>-95</v>
      </c>
      <c r="R1612" t="n">
        <v>0.4883</v>
      </c>
      <c r="S1612">
        <f>IMAGE("https://mitra.stanford.edu/kundaje/oak/projects/neuro-variants/variant_position/credible/roussos_2024/variant_figures/roussos_2024.adolescence.Astrocyte/rs434971_count_position.png",4,220,900)</f>
        <v/>
      </c>
      <c r="T1612">
        <f>IMAGE("https://mitra.stanford.edu/kundaje/oak/projects/neuro-variants/variant_position/credible/roussos_2024/variant_figures/roussos_2024.adolescence.Astrocyte/rs434971_profile_position.png",4,220,900)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-0.0610582189999999</v>
      </c>
      <c r="G1613" t="n">
        <v>0.1886287232407572</v>
      </c>
      <c r="H1613" t="n">
        <v>0.013849932167611</v>
      </c>
      <c r="I1613" t="n">
        <v>0.3989113472161956</v>
      </c>
      <c r="J1613" t="n">
        <v>0.1613550722487611</v>
      </c>
      <c r="K1613" t="n">
        <v>0.2461786562810133</v>
      </c>
      <c r="L1613" t="b">
        <v>0</v>
      </c>
      <c r="M1613" t="b">
        <v>0</v>
      </c>
      <c r="N1613" t="inlineStr">
        <is>
          <t>ref</t>
        </is>
      </c>
      <c r="O1613" t="n">
        <v>-100</v>
      </c>
      <c r="P1613" t="n">
        <v>0.005386</v>
      </c>
      <c r="Q1613" t="n">
        <v>-100</v>
      </c>
      <c r="R1613" t="n">
        <v>0.1109</v>
      </c>
      <c r="S1613">
        <f>IMAGE("https://mitra.stanford.edu/kundaje/oak/projects/neuro-variants/variant_position/credible/roussos_2024/variant_figures/roussos_2024.adolescence.Astrocyte/rs422112_count_position.png",4,220,900)</f>
        <v/>
      </c>
      <c r="T1613">
        <f>IMAGE("https://mitra.stanford.edu/kundaje/oak/projects/neuro-variants/variant_position/credible/roussos_2024/variant_figures/roussos_2024.adolescence.Astrocyte/rs422112_profile_position.png",4,220,900)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0.0126884248</v>
      </c>
      <c r="G1614" t="n">
        <v>0.6522189628852357</v>
      </c>
      <c r="H1614" t="n">
        <v>0.009749670793807</v>
      </c>
      <c r="I1614" t="n">
        <v>0.7643883625290434</v>
      </c>
      <c r="J1614" t="n">
        <v>0.0106800581550603</v>
      </c>
      <c r="K1614" t="n">
        <v>0.670639927188568</v>
      </c>
      <c r="L1614" t="b">
        <v>0</v>
      </c>
      <c r="M1614" t="b">
        <v>0</v>
      </c>
      <c r="N1614" t="inlineStr">
        <is>
          <t>alt</t>
        </is>
      </c>
      <c r="O1614" t="n">
        <v>75</v>
      </c>
      <c r="P1614" t="n">
        <v>0.003155</v>
      </c>
      <c r="Q1614" t="n">
        <v>35</v>
      </c>
      <c r="R1614" t="n">
        <v>0.1034</v>
      </c>
      <c r="S1614">
        <f>IMAGE("https://mitra.stanford.edu/kundaje/oak/projects/neuro-variants/variant_position/credible/roussos_2024/variant_figures/roussos_2024.adolescence.Astrocyte/rs241032_count_position.png",4,220,900)</f>
        <v/>
      </c>
      <c r="T1614">
        <f>IMAGE("https://mitra.stanford.edu/kundaje/oak/projects/neuro-variants/variant_position/credible/roussos_2024/variant_figures/roussos_2024.adolescence.Astrocyte/rs241032_profile_position.png",4,220,900)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0.1392102117999999</v>
      </c>
      <c r="G1615" t="n">
        <v>0.0433970612753448</v>
      </c>
      <c r="H1615" t="n">
        <v>0.0175975861318355</v>
      </c>
      <c r="I1615" t="n">
        <v>0.2123192014980469</v>
      </c>
      <c r="J1615" t="n">
        <v>0.0146581906655193</v>
      </c>
      <c r="K1615" t="n">
        <v>0.6293153038662788</v>
      </c>
      <c r="L1615" t="b">
        <v>0</v>
      </c>
      <c r="M1615" t="b">
        <v>0</v>
      </c>
      <c r="N1615" t="inlineStr">
        <is>
          <t>alt</t>
        </is>
      </c>
      <c r="O1615" t="n">
        <v>100</v>
      </c>
      <c r="P1615" t="n">
        <v>0.01659</v>
      </c>
      <c r="Q1615" t="n">
        <v>0</v>
      </c>
      <c r="R1615" t="n">
        <v>0</v>
      </c>
      <c r="S1615">
        <f>IMAGE("https://mitra.stanford.edu/kundaje/oak/projects/neuro-variants/variant_position/credible/roussos_2024/variant_figures/roussos_2024.adolescence.Astrocyte/rs241031_count_position.png",4,220,900)</f>
        <v/>
      </c>
      <c r="T1615">
        <f>IMAGE("https://mitra.stanford.edu/kundaje/oak/projects/neuro-variants/variant_position/credible/roussos_2024/variant_figures/roussos_2024.adolescence.Astrocyte/rs241031_profile_position.png",4,220,900)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-0.0205225536</v>
      </c>
      <c r="G1616" t="n">
        <v>0.548541159094422</v>
      </c>
      <c r="H1616" t="n">
        <v>0.007954473400885001</v>
      </c>
      <c r="I1616" t="n">
        <v>0.9299126388357004</v>
      </c>
      <c r="J1616" t="n">
        <v>0.4970714773165594</v>
      </c>
      <c r="K1616" t="n">
        <v>0.0576688801414287</v>
      </c>
      <c r="L1616" t="b">
        <v>0</v>
      </c>
      <c r="M1616" t="b">
        <v>0</v>
      </c>
      <c r="N1616" t="inlineStr">
        <is>
          <t>ref</t>
        </is>
      </c>
      <c r="O1616" t="n">
        <v>100</v>
      </c>
      <c r="P1616" t="n">
        <v>0.00902</v>
      </c>
      <c r="Q1616" t="n">
        <v>35</v>
      </c>
      <c r="R1616" t="n">
        <v>0.08690000000000001</v>
      </c>
      <c r="S1616">
        <f>IMAGE("https://mitra.stanford.edu/kundaje/oak/projects/neuro-variants/variant_position/credible/roussos_2024/variant_figures/roussos_2024.adolescence.Astrocyte/rs241022_count_position.png",4,220,900)</f>
        <v/>
      </c>
      <c r="T1616">
        <f>IMAGE("https://mitra.stanford.edu/kundaje/oak/projects/neuro-variants/variant_position/credible/roussos_2024/variant_figures/roussos_2024.adolescence.Astrocyte/rs241022_profile_position.png",4,220,900)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-0.011985843154</v>
      </c>
      <c r="G1617" t="n">
        <v>0.6926576360346248</v>
      </c>
      <c r="H1617" t="n">
        <v>0.0098363824180383</v>
      </c>
      <c r="I1617" t="n">
        <v>0.773988682076708</v>
      </c>
      <c r="J1617" t="n">
        <v>0.2177447111533098</v>
      </c>
      <c r="K1617" t="n">
        <v>0.1897800976945718</v>
      </c>
      <c r="L1617" t="b">
        <v>0</v>
      </c>
      <c r="M1617" t="b">
        <v>0</v>
      </c>
      <c r="N1617" t="inlineStr">
        <is>
          <t>ref</t>
        </is>
      </c>
      <c r="O1617" t="n">
        <v>-20</v>
      </c>
      <c r="P1617" t="n">
        <v>0.001907</v>
      </c>
      <c r="Q1617" t="n">
        <v>70</v>
      </c>
      <c r="R1617" t="n">
        <v>0.1552</v>
      </c>
      <c r="S1617">
        <f>IMAGE("https://mitra.stanford.edu/kundaje/oak/projects/neuro-variants/variant_position/credible/roussos_2024/variant_figures/roussos_2024.adolescence.Astrocyte/rs241020_count_position.png",4,220,900)</f>
        <v/>
      </c>
      <c r="T1617">
        <f>IMAGE("https://mitra.stanford.edu/kundaje/oak/projects/neuro-variants/variant_position/credible/roussos_2024/variant_figures/roussos_2024.adolescence.Astrocyte/rs241020_profile_position.png",4,220,900)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-0.0212812078</v>
      </c>
      <c r="G1618" t="n">
        <v>0.5424326481875983</v>
      </c>
      <c r="H1618" t="n">
        <v>0.0359961528483866</v>
      </c>
      <c r="I1618" t="n">
        <v>0.0147825281328804</v>
      </c>
      <c r="J1618" t="n">
        <v>0.0192876005103402</v>
      </c>
      <c r="K1618" t="n">
        <v>0.5888851919062453</v>
      </c>
      <c r="L1618" t="b">
        <v>1</v>
      </c>
      <c r="M1618" t="b">
        <v>0</v>
      </c>
      <c r="N1618" t="inlineStr">
        <is>
          <t>ref</t>
        </is>
      </c>
      <c r="O1618" t="n">
        <v>100</v>
      </c>
      <c r="P1618" t="n">
        <v>0.005394</v>
      </c>
      <c r="Q1618" t="n">
        <v>-80</v>
      </c>
      <c r="R1618" t="n">
        <v>0.105</v>
      </c>
      <c r="S1618">
        <f>IMAGE("https://mitra.stanford.edu/kundaje/oak/projects/neuro-variants/variant_position/credible/roussos_2024/variant_figures/roussos_2024.adolescence.Astrocyte/rs79675109_count_position.png",4,220,900)</f>
        <v/>
      </c>
      <c r="T1618">
        <f>IMAGE("https://mitra.stanford.edu/kundaje/oak/projects/neuro-variants/variant_position/credible/roussos_2024/variant_figures/roussos_2024.adolescence.Astrocyte/rs79675109_profile_position.png",4,220,900)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0.2836771999999999</v>
      </c>
      <c r="G1619" t="n">
        <v>0.0076227819044593</v>
      </c>
      <c r="H1619" t="n">
        <v>0.023001046854556</v>
      </c>
      <c r="I1619" t="n">
        <v>0.0854416376925079</v>
      </c>
      <c r="J1619" t="n">
        <v>0.1883853069459691</v>
      </c>
      <c r="K1619" t="n">
        <v>0.2175112667477814</v>
      </c>
      <c r="L1619" t="b">
        <v>1</v>
      </c>
      <c r="M1619" t="b">
        <v>1</v>
      </c>
      <c r="N1619" t="inlineStr">
        <is>
          <t>alt</t>
        </is>
      </c>
      <c r="O1619" t="n">
        <v>65</v>
      </c>
      <c r="P1619" t="n">
        <v>0.01695</v>
      </c>
      <c r="Q1619" t="n">
        <v>-100</v>
      </c>
      <c r="R1619" t="n">
        <v>0.1135</v>
      </c>
      <c r="S1619">
        <f>IMAGE("https://mitra.stanford.edu/kundaje/oak/projects/neuro-variants/variant_position/credible/roussos_2024/variant_figures/roussos_2024.adolescence.Astrocyte/rs62053950_count_position.png",4,220,900)</f>
        <v/>
      </c>
      <c r="T1619">
        <f>IMAGE("https://mitra.stanford.edu/kundaje/oak/projects/neuro-variants/variant_position/credible/roussos_2024/variant_figures/roussos_2024.adolescence.Astrocyte/rs62053950_profile_position.png",4,220,900)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0.1313146808</v>
      </c>
      <c r="G1620" t="n">
        <v>0.0465910451583847</v>
      </c>
      <c r="H1620" t="n">
        <v>0.0175593900666457</v>
      </c>
      <c r="I1620" t="n">
        <v>0.2090038760705909</v>
      </c>
      <c r="J1620" t="n">
        <v>0.2271214728659169</v>
      </c>
      <c r="K1620" t="n">
        <v>0.1870818561509557</v>
      </c>
      <c r="L1620" t="b">
        <v>0</v>
      </c>
      <c r="M1620" t="b">
        <v>0</v>
      </c>
      <c r="N1620" t="inlineStr">
        <is>
          <t>alt</t>
        </is>
      </c>
      <c r="O1620" t="n">
        <v>-70</v>
      </c>
      <c r="P1620" t="n">
        <v>0.01294</v>
      </c>
      <c r="Q1620" t="n">
        <v>-70</v>
      </c>
      <c r="R1620" t="n">
        <v>0.2406</v>
      </c>
      <c r="S1620">
        <f>IMAGE("https://mitra.stanford.edu/kundaje/oak/projects/neuro-variants/variant_position/credible/roussos_2024/variant_figures/roussos_2024.adolescence.Astrocyte/rs62053953_count_position.png",4,220,900)</f>
        <v/>
      </c>
      <c r="T1620">
        <f>IMAGE("https://mitra.stanford.edu/kundaje/oak/projects/neuro-variants/variant_position/credible/roussos_2024/variant_figures/roussos_2024.adolescence.Astrocyte/rs62053953_profile_position.png",4,220,900)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0.0551074822</v>
      </c>
      <c r="G1621" t="n">
        <v>0.2022362871403447</v>
      </c>
      <c r="H1621" t="n">
        <v>0.0108355609830908</v>
      </c>
      <c r="I1621" t="n">
        <v>0.6728029308548117</v>
      </c>
      <c r="J1621" t="n">
        <v>0.1758485891463667</v>
      </c>
      <c r="K1621" t="n">
        <v>0.2366234285514796</v>
      </c>
      <c r="L1621" t="b">
        <v>0</v>
      </c>
      <c r="M1621" t="b">
        <v>0</v>
      </c>
      <c r="N1621" t="inlineStr">
        <is>
          <t>alt</t>
        </is>
      </c>
      <c r="O1621" t="n">
        <v>-10</v>
      </c>
      <c r="P1621" t="n">
        <v>0.004658</v>
      </c>
      <c r="Q1621" t="n">
        <v>-10</v>
      </c>
      <c r="R1621" t="n">
        <v>0.03027</v>
      </c>
      <c r="S1621">
        <f>IMAGE("https://mitra.stanford.edu/kundaje/oak/projects/neuro-variants/variant_position/credible/roussos_2024/variant_figures/roussos_2024.adolescence.Astrocyte/rs17687534_count_position.png",4,220,900)</f>
        <v/>
      </c>
      <c r="T1621">
        <f>IMAGE("https://mitra.stanford.edu/kundaje/oak/projects/neuro-variants/variant_position/credible/roussos_2024/variant_figures/roussos_2024.adolescence.Astrocyte/rs17687534_profile_position.png",4,220,900)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0.1507299868</v>
      </c>
      <c r="G1622" t="n">
        <v>0.038991877446815</v>
      </c>
      <c r="H1622" t="n">
        <v>0.0207962513294806</v>
      </c>
      <c r="I1622" t="n">
        <v>0.1251872327910369</v>
      </c>
      <c r="J1622" t="n">
        <v>0.0958616443640031</v>
      </c>
      <c r="K1622" t="n">
        <v>0.3503980074403253</v>
      </c>
      <c r="L1622" t="b">
        <v>0</v>
      </c>
      <c r="M1622" t="b">
        <v>0</v>
      </c>
      <c r="N1622" t="inlineStr">
        <is>
          <t>alt</t>
        </is>
      </c>
      <c r="O1622" t="n">
        <v>-20</v>
      </c>
      <c r="P1622" t="n">
        <v>0.002472</v>
      </c>
      <c r="Q1622" t="n">
        <v>-40</v>
      </c>
      <c r="R1622" t="n">
        <v>0.1306</v>
      </c>
      <c r="S1622">
        <f>IMAGE("https://mitra.stanford.edu/kundaje/oak/projects/neuro-variants/variant_position/credible/roussos_2024/variant_figures/roussos_2024.adolescence.Astrocyte/rs1631850_count_position.png",4,220,900)</f>
        <v/>
      </c>
      <c r="T1622">
        <f>IMAGE("https://mitra.stanford.edu/kundaje/oak/projects/neuro-variants/variant_position/credible/roussos_2024/variant_figures/roussos_2024.adolescence.Astrocyte/rs1631850_profile_position.png",4,220,900)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0.0428253321999999</v>
      </c>
      <c r="G1623" t="n">
        <v>0.298332530346706</v>
      </c>
      <c r="H1623" t="n">
        <v>0.0110194650793091</v>
      </c>
      <c r="I1623" t="n">
        <v>0.6462831232041161</v>
      </c>
      <c r="J1623" t="n">
        <v>0.0659466516333857</v>
      </c>
      <c r="K1623" t="n">
        <v>0.4233056647407487</v>
      </c>
      <c r="L1623" t="b">
        <v>0</v>
      </c>
      <c r="M1623" t="b">
        <v>0</v>
      </c>
      <c r="N1623" t="inlineStr">
        <is>
          <t>alt</t>
        </is>
      </c>
      <c r="O1623" t="n">
        <v>-60</v>
      </c>
      <c r="P1623" t="n">
        <v>0.01005</v>
      </c>
      <c r="Q1623" t="n">
        <v>-75</v>
      </c>
      <c r="R1623" t="n">
        <v>0.1465</v>
      </c>
      <c r="S1623">
        <f>IMAGE("https://mitra.stanford.edu/kundaje/oak/projects/neuro-variants/variant_position/credible/roussos_2024/variant_figures/roussos_2024.adolescence.Astrocyte/rs62053955_count_position.png",4,220,900)</f>
        <v/>
      </c>
      <c r="T1623">
        <f>IMAGE("https://mitra.stanford.edu/kundaje/oak/projects/neuro-variants/variant_position/credible/roussos_2024/variant_figures/roussos_2024.adolescence.Astrocyte/rs62053955_profile_position.png",4,220,900)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0.013224949</v>
      </c>
      <c r="G1624" t="n">
        <v>0.551147254199491</v>
      </c>
      <c r="H1624" t="n">
        <v>0.0099532669675117</v>
      </c>
      <c r="I1624" t="n">
        <v>0.7656336214523268</v>
      </c>
      <c r="J1624" t="n">
        <v>0.1574674361332818</v>
      </c>
      <c r="K1624" t="n">
        <v>0.248025510879838</v>
      </c>
      <c r="L1624" t="b">
        <v>0</v>
      </c>
      <c r="M1624" t="b">
        <v>0</v>
      </c>
      <c r="N1624" t="inlineStr">
        <is>
          <t>alt</t>
        </is>
      </c>
      <c r="O1624" t="n">
        <v>100</v>
      </c>
      <c r="P1624" t="n">
        <v>0.02786</v>
      </c>
      <c r="Q1624" t="n">
        <v>100</v>
      </c>
      <c r="R1624" t="n">
        <v>0.1484</v>
      </c>
      <c r="S1624">
        <f>IMAGE("https://mitra.stanford.edu/kundaje/oak/projects/neuro-variants/variant_position/credible/roussos_2024/variant_figures/roussos_2024.adolescence.Astrocyte/rs62055662_count_position.png",4,220,900)</f>
        <v/>
      </c>
      <c r="T1624">
        <f>IMAGE("https://mitra.stanford.edu/kundaje/oak/projects/neuro-variants/variant_position/credible/roussos_2024/variant_figures/roussos_2024.adolescence.Astrocyte/rs62055662_profile_position.png",4,220,900)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0.0039048254</v>
      </c>
      <c r="G1625" t="n">
        <v>0.6001870006371934</v>
      </c>
      <c r="H1625" t="n">
        <v>0.0131253035320223</v>
      </c>
      <c r="I1625" t="n">
        <v>0.461477332599449</v>
      </c>
      <c r="J1625" t="n">
        <v>0.5371198409637123</v>
      </c>
      <c r="K1625" t="n">
        <v>0.0456124935918319</v>
      </c>
      <c r="L1625" t="b">
        <v>0</v>
      </c>
      <c r="M1625" t="b">
        <v>0</v>
      </c>
      <c r="N1625" t="inlineStr">
        <is>
          <t>alt</t>
        </is>
      </c>
      <c r="O1625" t="n">
        <v>100</v>
      </c>
      <c r="P1625" t="n">
        <v>0.08026</v>
      </c>
      <c r="Q1625" t="n">
        <v>100</v>
      </c>
      <c r="R1625" t="n">
        <v>0.84</v>
      </c>
      <c r="S1625">
        <f>IMAGE("https://mitra.stanford.edu/kundaje/oak/projects/neuro-variants/variant_position/credible/roussos_2024/variant_figures/roussos_2024.adolescence.Astrocyte/rs757500_count_position.png",4,220,900)</f>
        <v/>
      </c>
      <c r="T1625">
        <f>IMAGE("https://mitra.stanford.edu/kundaje/oak/projects/neuro-variants/variant_position/credible/roussos_2024/variant_figures/roussos_2024.adolescence.Astrocyte/rs757500_profile_position.png",4,220,900)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0.0112675193999999</v>
      </c>
      <c r="G1626" t="n">
        <v>0.2351427873318007</v>
      </c>
      <c r="H1626" t="n">
        <v>0.0116720786792207</v>
      </c>
      <c r="I1626" t="n">
        <v>0.5804524754910619</v>
      </c>
      <c r="J1626" t="n">
        <v>0.5888630092276652</v>
      </c>
      <c r="K1626" t="n">
        <v>0.0346687186577893</v>
      </c>
      <c r="L1626" t="b">
        <v>0</v>
      </c>
      <c r="M1626" t="b">
        <v>0</v>
      </c>
      <c r="N1626" t="inlineStr">
        <is>
          <t>alt</t>
        </is>
      </c>
      <c r="O1626" t="n">
        <v>100</v>
      </c>
      <c r="P1626" t="n">
        <v>0.03049</v>
      </c>
      <c r="Q1626" t="n">
        <v>95</v>
      </c>
      <c r="R1626" t="n">
        <v>0.395</v>
      </c>
      <c r="S1626">
        <f>IMAGE("https://mitra.stanford.edu/kundaje/oak/projects/neuro-variants/variant_position/credible/roussos_2024/variant_figures/roussos_2024.adolescence.Astrocyte/rs62055693_count_position.png",4,220,900)</f>
        <v/>
      </c>
      <c r="T1626">
        <f>IMAGE("https://mitra.stanford.edu/kundaje/oak/projects/neuro-variants/variant_position/credible/roussos_2024/variant_figures/roussos_2024.adolescence.Astrocyte/rs62055693_profile_position.png",4,220,900)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0.11274914244</v>
      </c>
      <c r="G1627" t="n">
        <v>0.0673024720084854</v>
      </c>
      <c r="H1627" t="n">
        <v>0.0264680435765701</v>
      </c>
      <c r="I1627" t="n">
        <v>0.0521175973493087</v>
      </c>
      <c r="J1627" t="n">
        <v>0.1490750081595109</v>
      </c>
      <c r="K1627" t="n">
        <v>0.2578264133376556</v>
      </c>
      <c r="L1627" t="b">
        <v>0</v>
      </c>
      <c r="M1627" t="b">
        <v>0</v>
      </c>
      <c r="N1627" t="inlineStr">
        <is>
          <t>alt</t>
        </is>
      </c>
      <c r="O1627" t="n">
        <v>100</v>
      </c>
      <c r="P1627" t="n">
        <v>0.008030000000000001</v>
      </c>
      <c r="Q1627" t="n">
        <v>55</v>
      </c>
      <c r="R1627" t="n">
        <v>0.03998</v>
      </c>
      <c r="S1627">
        <f>IMAGE("https://mitra.stanford.edu/kundaje/oak/projects/neuro-variants/variant_position/credible/roussos_2024/variant_figures/roussos_2024.adolescence.Astrocyte/rs17687849_count_position.png",4,220,900)</f>
        <v/>
      </c>
      <c r="T1627">
        <f>IMAGE("https://mitra.stanford.edu/kundaje/oak/projects/neuro-variants/variant_position/credible/roussos_2024/variant_figures/roussos_2024.adolescence.Astrocyte/rs17687849_profile_position.png",4,220,900)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-0.01389186346</v>
      </c>
      <c r="G1628" t="n">
        <v>0.6554575749404667</v>
      </c>
      <c r="H1628" t="n">
        <v>0.0291449987694539</v>
      </c>
      <c r="I1628" t="n">
        <v>0.0350655120652933</v>
      </c>
      <c r="J1628" t="n">
        <v>0.0021110880337061</v>
      </c>
      <c r="K1628" t="n">
        <v>0.8246582244298876</v>
      </c>
      <c r="L1628" t="b">
        <v>0</v>
      </c>
      <c r="M1628" t="b">
        <v>0</v>
      </c>
      <c r="N1628" t="inlineStr">
        <is>
          <t>ref</t>
        </is>
      </c>
      <c r="O1628" t="n">
        <v>-100</v>
      </c>
      <c r="P1628" t="n">
        <v>0.008970000000000001</v>
      </c>
      <c r="Q1628" t="n">
        <v>0</v>
      </c>
      <c r="R1628" t="n">
        <v>0</v>
      </c>
      <c r="S1628">
        <f>IMAGE("https://mitra.stanford.edu/kundaje/oak/projects/neuro-variants/variant_position/credible/roussos_2024/variant_figures/roussos_2024.adolescence.Astrocyte/rs62055706_count_position.png",4,220,900)</f>
        <v/>
      </c>
      <c r="T1628">
        <f>IMAGE("https://mitra.stanford.edu/kundaje/oak/projects/neuro-variants/variant_position/credible/roussos_2024/variant_figures/roussos_2024.adolescence.Astrocyte/rs62055706_profile_position.png",4,220,900)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-0.08971380079999999</v>
      </c>
      <c r="G1629" t="n">
        <v>0.1103383687963728</v>
      </c>
      <c r="H1629" t="n">
        <v>0.012960267084467</v>
      </c>
      <c r="I1629" t="n">
        <v>0.4598184435073394</v>
      </c>
      <c r="J1629" t="n">
        <v>0.008456220514494199</v>
      </c>
      <c r="K1629" t="n">
        <v>0.6882587922368972</v>
      </c>
      <c r="L1629" t="b">
        <v>0</v>
      </c>
      <c r="M1629" t="b">
        <v>0</v>
      </c>
      <c r="N1629" t="inlineStr">
        <is>
          <t>ref</t>
        </is>
      </c>
      <c r="O1629" t="n">
        <v>100</v>
      </c>
      <c r="P1629" t="n">
        <v>0.0503</v>
      </c>
      <c r="Q1629" t="n">
        <v>100</v>
      </c>
      <c r="R1629" t="n">
        <v>0.1521</v>
      </c>
      <c r="S1629">
        <f>IMAGE("https://mitra.stanford.edu/kundaje/oak/projects/neuro-variants/variant_position/credible/roussos_2024/variant_figures/roussos_2024.adolescence.Astrocyte/rs2158474_count_position.png",4,220,900)</f>
        <v/>
      </c>
      <c r="T1629">
        <f>IMAGE("https://mitra.stanford.edu/kundaje/oak/projects/neuro-variants/variant_position/credible/roussos_2024/variant_figures/roussos_2024.adolescence.Astrocyte/rs2158474_profile_position.png",4,220,900)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-0.05178674594</v>
      </c>
      <c r="G1630" t="n">
        <v>0.254172846724532</v>
      </c>
      <c r="H1630" t="n">
        <v>0.0125209962674639</v>
      </c>
      <c r="I1630" t="n">
        <v>0.5120858297785961</v>
      </c>
      <c r="J1630" t="n">
        <v>0.009046672403050101</v>
      </c>
      <c r="K1630" t="n">
        <v>0.6812245861025392</v>
      </c>
      <c r="L1630" t="b">
        <v>0</v>
      </c>
      <c r="M1630" t="b">
        <v>0</v>
      </c>
      <c r="N1630" t="inlineStr">
        <is>
          <t>ref</t>
        </is>
      </c>
      <c r="O1630" t="n">
        <v>100</v>
      </c>
      <c r="P1630" t="n">
        <v>0.07480000000000001</v>
      </c>
      <c r="Q1630" t="n">
        <v>90</v>
      </c>
      <c r="R1630" t="n">
        <v>0.3047</v>
      </c>
      <c r="S1630">
        <f>IMAGE("https://mitra.stanford.edu/kundaje/oak/projects/neuro-variants/variant_position/credible/roussos_2024/variant_figures/roussos_2024.adolescence.Astrocyte/rs62055708_count_position.png",4,220,900)</f>
        <v/>
      </c>
      <c r="T1630">
        <f>IMAGE("https://mitra.stanford.edu/kundaje/oak/projects/neuro-variants/variant_position/credible/roussos_2024/variant_figures/roussos_2024.adolescence.Astrocyte/rs62055708_profile_position.png",4,220,900)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-0.01726139274</v>
      </c>
      <c r="G1631" t="n">
        <v>0.6179334901495115</v>
      </c>
      <c r="H1631" t="n">
        <v>0.0150247391880536</v>
      </c>
      <c r="I1631" t="n">
        <v>0.3247447251689238</v>
      </c>
      <c r="J1631" t="n">
        <v>0.0260340325787021</v>
      </c>
      <c r="K1631" t="n">
        <v>0.550000286286461</v>
      </c>
      <c r="L1631" t="b">
        <v>0</v>
      </c>
      <c r="M1631" t="b">
        <v>0</v>
      </c>
      <c r="N1631" t="inlineStr">
        <is>
          <t>ref</t>
        </is>
      </c>
      <c r="O1631" t="n">
        <v>100</v>
      </c>
      <c r="P1631" t="n">
        <v>0.003983</v>
      </c>
      <c r="Q1631" t="n">
        <v>-95</v>
      </c>
      <c r="R1631" t="n">
        <v>0.0929</v>
      </c>
      <c r="S1631">
        <f>IMAGE("https://mitra.stanford.edu/kundaje/oak/projects/neuro-variants/variant_position/credible/roussos_2024/variant_figures/roussos_2024.adolescence.Astrocyte/rs62055714_count_position.png",4,220,900)</f>
        <v/>
      </c>
      <c r="T1631">
        <f>IMAGE("https://mitra.stanford.edu/kundaje/oak/projects/neuro-variants/variant_position/credible/roussos_2024/variant_figures/roussos_2024.adolescence.Astrocyte/rs62055714_profile_position.png",4,220,900)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-0.0454190260999999</v>
      </c>
      <c r="G1632" t="n">
        <v>0.3031058196247345</v>
      </c>
      <c r="H1632" t="n">
        <v>0.0161385234521162</v>
      </c>
      <c r="I1632" t="n">
        <v>0.2733095513972558</v>
      </c>
      <c r="J1632" t="n">
        <v>0.275212889060321</v>
      </c>
      <c r="K1632" t="n">
        <v>0.1499064644171816</v>
      </c>
      <c r="L1632" t="b">
        <v>0</v>
      </c>
      <c r="M1632" t="b">
        <v>0</v>
      </c>
      <c r="N1632" t="inlineStr">
        <is>
          <t>ref</t>
        </is>
      </c>
      <c r="O1632" t="n">
        <v>100</v>
      </c>
      <c r="P1632" t="n">
        <v>0.01204</v>
      </c>
      <c r="Q1632" t="n">
        <v>-35</v>
      </c>
      <c r="R1632" t="n">
        <v>0.05994</v>
      </c>
      <c r="S1632">
        <f>IMAGE("https://mitra.stanford.edu/kundaje/oak/projects/neuro-variants/variant_position/credible/roussos_2024/variant_figures/roussos_2024.adolescence.Astrocyte/rs56323832_count_position.png",4,220,900)</f>
        <v/>
      </c>
      <c r="T1632">
        <f>IMAGE("https://mitra.stanford.edu/kundaje/oak/projects/neuro-variants/variant_position/credible/roussos_2024/variant_figures/roussos_2024.adolescence.Astrocyte/rs56323832_profile_position.png",4,220,900)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0.04415396904</v>
      </c>
      <c r="G1633" t="n">
        <v>0.3252708431144679</v>
      </c>
      <c r="H1633" t="n">
        <v>0.0138621396396748</v>
      </c>
      <c r="I1633" t="n">
        <v>0.3993968048318786</v>
      </c>
      <c r="J1633" t="n">
        <v>0.0065921431326587</v>
      </c>
      <c r="K1633" t="n">
        <v>0.7236994390307092</v>
      </c>
      <c r="L1633" t="b">
        <v>0</v>
      </c>
      <c r="M1633" t="b">
        <v>0</v>
      </c>
      <c r="N1633" t="inlineStr">
        <is>
          <t>alt</t>
        </is>
      </c>
      <c r="O1633" t="n">
        <v>-85</v>
      </c>
      <c r="P1633" t="n">
        <v>0.006226</v>
      </c>
      <c r="Q1633" t="n">
        <v>-95</v>
      </c>
      <c r="R1633" t="n">
        <v>0.06836</v>
      </c>
      <c r="S1633">
        <f>IMAGE("https://mitra.stanford.edu/kundaje/oak/projects/neuro-variants/variant_position/credible/roussos_2024/variant_figures/roussos_2024.adolescence.Astrocyte/rs62056864_count_position.png",4,220,900)</f>
        <v/>
      </c>
      <c r="T1633">
        <f>IMAGE("https://mitra.stanford.edu/kundaje/oak/projects/neuro-variants/variant_position/credible/roussos_2024/variant_figures/roussos_2024.adolescence.Astrocyte/rs62056864_profile_position.png",4,220,900)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0.1093814138</v>
      </c>
      <c r="G1634" t="n">
        <v>0.0698323679967618</v>
      </c>
      <c r="H1634" t="n">
        <v>0.0350711602673948</v>
      </c>
      <c r="I1634" t="n">
        <v>0.0165444712026867</v>
      </c>
      <c r="J1634" t="n">
        <v>0.1288557398451176</v>
      </c>
      <c r="K1634" t="n">
        <v>0.2793688625821244</v>
      </c>
      <c r="L1634" t="b">
        <v>1</v>
      </c>
      <c r="M1634" t="b">
        <v>0</v>
      </c>
      <c r="N1634" t="inlineStr">
        <is>
          <t>alt</t>
        </is>
      </c>
      <c r="O1634" t="n">
        <v>-100</v>
      </c>
      <c r="P1634" t="n">
        <v>0.013</v>
      </c>
      <c r="Q1634" t="n">
        <v>80</v>
      </c>
      <c r="R1634" t="n">
        <v>0.11304</v>
      </c>
      <c r="S1634">
        <f>IMAGE("https://mitra.stanford.edu/kundaje/oak/projects/neuro-variants/variant_position/credible/roussos_2024/variant_figures/roussos_2024.adolescence.Astrocyte/rs56200760_count_position.png",4,220,900)</f>
        <v/>
      </c>
      <c r="T1634">
        <f>IMAGE("https://mitra.stanford.edu/kundaje/oak/projects/neuro-variants/variant_position/credible/roussos_2024/variant_figures/roussos_2024.adolescence.Astrocyte/rs56200760_profile_position.png",4,220,900)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0.168258532</v>
      </c>
      <c r="G1635" t="n">
        <v>0.0278695719153515</v>
      </c>
      <c r="H1635" t="n">
        <v>0.0377263924670934</v>
      </c>
      <c r="I1635" t="n">
        <v>0.0134730603747252</v>
      </c>
      <c r="J1635" t="n">
        <v>0.1962443996083434</v>
      </c>
      <c r="K1635" t="n">
        <v>0.2060800179568245</v>
      </c>
      <c r="L1635" t="b">
        <v>1</v>
      </c>
      <c r="M1635" t="b">
        <v>0</v>
      </c>
      <c r="N1635" t="inlineStr">
        <is>
          <t>alt</t>
        </is>
      </c>
      <c r="O1635" t="n">
        <v>-95</v>
      </c>
      <c r="P1635" t="n">
        <v>0.001207</v>
      </c>
      <c r="Q1635" t="n">
        <v>35</v>
      </c>
      <c r="R1635" t="n">
        <v>0.09619999999999999</v>
      </c>
      <c r="S1635">
        <f>IMAGE("https://mitra.stanford.edu/kundaje/oak/projects/neuro-variants/variant_position/credible/roussos_2024/variant_figures/roussos_2024.adolescence.Astrocyte/rs17688391_count_position.png",4,220,900)</f>
        <v/>
      </c>
      <c r="T1635">
        <f>IMAGE("https://mitra.stanford.edu/kundaje/oak/projects/neuro-variants/variant_position/credible/roussos_2024/variant_figures/roussos_2024.adolescence.Astrocyte/rs17688391_profile_position.png",4,220,900)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0.1415091512</v>
      </c>
      <c r="G1636" t="n">
        <v>0.0414194243594646</v>
      </c>
      <c r="H1636" t="n">
        <v>0.0369242814817186</v>
      </c>
      <c r="I1636" t="n">
        <v>0.013717554541597</v>
      </c>
      <c r="J1636" t="n">
        <v>0.244803875025962</v>
      </c>
      <c r="K1636" t="n">
        <v>0.1683761623399194</v>
      </c>
      <c r="L1636" t="b">
        <v>1</v>
      </c>
      <c r="M1636" t="b">
        <v>0</v>
      </c>
      <c r="N1636" t="inlineStr">
        <is>
          <t>alt</t>
        </is>
      </c>
      <c r="O1636" t="n">
        <v>-60</v>
      </c>
      <c r="P1636" t="n">
        <v>0.004013</v>
      </c>
      <c r="Q1636" t="n">
        <v>-100</v>
      </c>
      <c r="R1636" t="n">
        <v>0.3276</v>
      </c>
      <c r="S1636">
        <f>IMAGE("https://mitra.stanford.edu/kundaje/oak/projects/neuro-variants/variant_position/credible/roussos_2024/variant_figures/roussos_2024.adolescence.Astrocyte/rs17688410_count_position.png",4,220,900)</f>
        <v/>
      </c>
      <c r="T1636">
        <f>IMAGE("https://mitra.stanford.edu/kundaje/oak/projects/neuro-variants/variant_position/credible/roussos_2024/variant_figures/roussos_2024.adolescence.Astrocyte/rs17688410_profile_position.png",4,220,900)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0.01060703704712</v>
      </c>
      <c r="G1637" t="n">
        <v>0.7023971217145629</v>
      </c>
      <c r="H1637" t="n">
        <v>0.010113610001583</v>
      </c>
      <c r="I1637" t="n">
        <v>0.7471820216826857</v>
      </c>
      <c r="J1637" t="n">
        <v>0.0052999732961456</v>
      </c>
      <c r="K1637" t="n">
        <v>0.736024583523944</v>
      </c>
      <c r="L1637" t="b">
        <v>0</v>
      </c>
      <c r="M1637" t="b">
        <v>0</v>
      </c>
      <c r="N1637" t="inlineStr">
        <is>
          <t>alt</t>
        </is>
      </c>
      <c r="O1637" t="n">
        <v>95</v>
      </c>
      <c r="P1637" t="n">
        <v>0.014206</v>
      </c>
      <c r="Q1637" t="n">
        <v>-65</v>
      </c>
      <c r="R1637" t="n">
        <v>0.07385</v>
      </c>
      <c r="S1637">
        <f>IMAGE("https://mitra.stanford.edu/kundaje/oak/projects/neuro-variants/variant_position/credible/roussos_2024/variant_figures/roussos_2024.adolescence.Astrocyte/rs17688558_count_position.png",4,220,900)</f>
        <v/>
      </c>
      <c r="T1637">
        <f>IMAGE("https://mitra.stanford.edu/kundaje/oak/projects/neuro-variants/variant_position/credible/roussos_2024/variant_figures/roussos_2024.adolescence.Astrocyte/rs17688558_profile_position.png",4,220,900)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0.0545015174</v>
      </c>
      <c r="G1638" t="n">
        <v>0.2026191464516668</v>
      </c>
      <c r="H1638" t="n">
        <v>0.0174153380576462</v>
      </c>
      <c r="I1638" t="n">
        <v>0.2094522498412024</v>
      </c>
      <c r="J1638" t="n">
        <v>0.0344858024508203</v>
      </c>
      <c r="K1638" t="n">
        <v>0.5249856910080521</v>
      </c>
      <c r="L1638" t="b">
        <v>0</v>
      </c>
      <c r="M1638" t="b">
        <v>0</v>
      </c>
      <c r="N1638" t="inlineStr">
        <is>
          <t>alt</t>
        </is>
      </c>
      <c r="O1638" t="n">
        <v>30</v>
      </c>
      <c r="P1638" t="n">
        <v>0.001963</v>
      </c>
      <c r="Q1638" t="n">
        <v>-80</v>
      </c>
      <c r="R1638" t="n">
        <v>0.1975</v>
      </c>
      <c r="S1638">
        <f>IMAGE("https://mitra.stanford.edu/kundaje/oak/projects/neuro-variants/variant_position/credible/roussos_2024/variant_figures/roussos_2024.adolescence.Astrocyte/rs56162163_count_position.png",4,220,900)</f>
        <v/>
      </c>
      <c r="T1638">
        <f>IMAGE("https://mitra.stanford.edu/kundaje/oak/projects/neuro-variants/variant_position/credible/roussos_2024/variant_figures/roussos_2024.adolescence.Astrocyte/rs56162163_profile_position.png",4,220,900)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0.058523623</v>
      </c>
      <c r="G1639" t="n">
        <v>0.2003527780131956</v>
      </c>
      <c r="H1639" t="n">
        <v>0.0328204875520458</v>
      </c>
      <c r="I1639" t="n">
        <v>0.0219877675207603</v>
      </c>
      <c r="J1639" t="n">
        <v>0.0510651870753345</v>
      </c>
      <c r="K1639" t="n">
        <v>0.4682076314431619</v>
      </c>
      <c r="L1639" t="b">
        <v>0</v>
      </c>
      <c r="M1639" t="b">
        <v>0</v>
      </c>
      <c r="N1639" t="inlineStr">
        <is>
          <t>alt</t>
        </is>
      </c>
      <c r="O1639" t="n">
        <v>-100</v>
      </c>
      <c r="P1639" t="n">
        <v>0.00177</v>
      </c>
      <c r="Q1639" t="n">
        <v>-90</v>
      </c>
      <c r="R1639" t="n">
        <v>0.1106</v>
      </c>
      <c r="S1639">
        <f>IMAGE("https://mitra.stanford.edu/kundaje/oak/projects/neuro-variants/variant_position/credible/roussos_2024/variant_figures/roussos_2024.adolescence.Astrocyte/rs56391096_count_position.png",4,220,900)</f>
        <v/>
      </c>
      <c r="T1639">
        <f>IMAGE("https://mitra.stanford.edu/kundaje/oak/projects/neuro-variants/variant_position/credible/roussos_2024/variant_figures/roussos_2024.adolescence.Astrocyte/rs56391096_profile_position.png",4,220,900)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-0.006613975908</v>
      </c>
      <c r="G1640" t="n">
        <v>0.6826962066823696</v>
      </c>
      <c r="H1640" t="n">
        <v>0.0106682638256511</v>
      </c>
      <c r="I1640" t="n">
        <v>0.6843399612747147</v>
      </c>
      <c r="J1640" t="n">
        <v>0.0325052665934783</v>
      </c>
      <c r="K1640" t="n">
        <v>0.5422770007098688</v>
      </c>
      <c r="L1640" t="b">
        <v>0</v>
      </c>
      <c r="M1640" t="b">
        <v>0</v>
      </c>
      <c r="N1640" t="inlineStr">
        <is>
          <t>ref</t>
        </is>
      </c>
      <c r="O1640" t="n">
        <v>-100</v>
      </c>
      <c r="P1640" t="n">
        <v>0.02339</v>
      </c>
      <c r="Q1640" t="n">
        <v>-100</v>
      </c>
      <c r="R1640" t="n">
        <v>0.2065</v>
      </c>
      <c r="S1640">
        <f>IMAGE("https://mitra.stanford.edu/kundaje/oak/projects/neuro-variants/variant_position/credible/roussos_2024/variant_figures/roussos_2024.adolescence.Astrocyte/rs62056872_count_position.png",4,220,900)</f>
        <v/>
      </c>
      <c r="T1640">
        <f>IMAGE("https://mitra.stanford.edu/kundaje/oak/projects/neuro-variants/variant_position/credible/roussos_2024/variant_figures/roussos_2024.adolescence.Astrocyte/rs62056872_profile_position.png",4,220,900)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0.090660654528</v>
      </c>
      <c r="G1641" t="n">
        <v>0.1072960309919486</v>
      </c>
      <c r="H1641" t="n">
        <v>0.0209139452578009</v>
      </c>
      <c r="I1641" t="n">
        <v>0.1257957629030901</v>
      </c>
      <c r="J1641" t="n">
        <v>0.0127325460641485</v>
      </c>
      <c r="K1641" t="n">
        <v>0.6516279683575751</v>
      </c>
      <c r="L1641" t="b">
        <v>0</v>
      </c>
      <c r="M1641" t="b">
        <v>0</v>
      </c>
      <c r="N1641" t="inlineStr">
        <is>
          <t>alt</t>
        </is>
      </c>
      <c r="O1641" t="n">
        <v>45</v>
      </c>
      <c r="P1641" t="n">
        <v>0.002628</v>
      </c>
      <c r="Q1641" t="n">
        <v>75</v>
      </c>
      <c r="R1641" t="n">
        <v>0.06809999999999999</v>
      </c>
      <c r="S1641">
        <f>IMAGE("https://mitra.stanford.edu/kundaje/oak/projects/neuro-variants/variant_position/credible/roussos_2024/variant_figures/roussos_2024.adolescence.Astrocyte/rs12150608_count_position.png",4,220,900)</f>
        <v/>
      </c>
      <c r="T1641">
        <f>IMAGE("https://mitra.stanford.edu/kundaje/oak/projects/neuro-variants/variant_position/credible/roussos_2024/variant_figures/roussos_2024.adolescence.Astrocyte/rs12150608_profile_position.png",4,220,900)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0.060283338</v>
      </c>
      <c r="G1642" t="n">
        <v>0.1762587602869239</v>
      </c>
      <c r="H1642" t="n">
        <v>0.0134170834749007</v>
      </c>
      <c r="I1642" t="n">
        <v>0.4227415941593988</v>
      </c>
      <c r="J1642" t="n">
        <v>0.0071284455389727</v>
      </c>
      <c r="K1642" t="n">
        <v>0.7032586606927415</v>
      </c>
      <c r="L1642" t="b">
        <v>0</v>
      </c>
      <c r="M1642" t="b">
        <v>0</v>
      </c>
      <c r="N1642" t="inlineStr">
        <is>
          <t>alt</t>
        </is>
      </c>
      <c r="O1642" t="n">
        <v>-100</v>
      </c>
      <c r="P1642" t="n">
        <v>0.003822</v>
      </c>
      <c r="Q1642" t="n">
        <v>-70</v>
      </c>
      <c r="R1642" t="n">
        <v>0.11304</v>
      </c>
      <c r="S1642">
        <f>IMAGE("https://mitra.stanford.edu/kundaje/oak/projects/neuro-variants/variant_position/credible/roussos_2024/variant_figures/roussos_2024.adolescence.Astrocyte/rs12150547_count_position.png",4,220,900)</f>
        <v/>
      </c>
      <c r="T1642">
        <f>IMAGE("https://mitra.stanford.edu/kundaje/oak/projects/neuro-variants/variant_position/credible/roussos_2024/variant_figures/roussos_2024.adolescence.Astrocyte/rs12150547_profile_position.png",4,220,900)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0.00266460874</v>
      </c>
      <c r="G1643" t="n">
        <v>0.6115346950275764</v>
      </c>
      <c r="H1643" t="n">
        <v>0.0145455680379473</v>
      </c>
      <c r="I1643" t="n">
        <v>0.3450171793911437</v>
      </c>
      <c r="J1643" t="n">
        <v>0.0981136694062842</v>
      </c>
      <c r="K1643" t="n">
        <v>0.34904845858301</v>
      </c>
      <c r="L1643" t="b">
        <v>0</v>
      </c>
      <c r="M1643" t="b">
        <v>0</v>
      </c>
      <c r="N1643" t="inlineStr">
        <is>
          <t>alt</t>
        </is>
      </c>
      <c r="O1643" t="n">
        <v>45</v>
      </c>
      <c r="P1643" t="n">
        <v>0.00463</v>
      </c>
      <c r="Q1643" t="n">
        <v>35</v>
      </c>
      <c r="R1643" t="n">
        <v>0.042</v>
      </c>
      <c r="S1643">
        <f>IMAGE("https://mitra.stanford.edu/kundaje/oak/projects/neuro-variants/variant_position/credible/roussos_2024/variant_figures/roussos_2024.adolescence.Astrocyte/rs62056874_count_position.png",4,220,900)</f>
        <v/>
      </c>
      <c r="T1643">
        <f>IMAGE("https://mitra.stanford.edu/kundaje/oak/projects/neuro-variants/variant_position/credible/roussos_2024/variant_figures/roussos_2024.adolescence.Astrocyte/rs62056874_profile_position.png",4,220,900)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-0.015868438024</v>
      </c>
      <c r="G1644" t="n">
        <v>0.6367439215619728</v>
      </c>
      <c r="H1644" t="n">
        <v>0.0085341288797234</v>
      </c>
      <c r="I1644" t="n">
        <v>0.8839878475143195</v>
      </c>
      <c r="J1644" t="n">
        <v>0.0192008129840073</v>
      </c>
      <c r="K1644" t="n">
        <v>0.576659217748024</v>
      </c>
      <c r="L1644" t="b">
        <v>0</v>
      </c>
      <c r="M1644" t="b">
        <v>0</v>
      </c>
      <c r="N1644" t="inlineStr">
        <is>
          <t>ref</t>
        </is>
      </c>
      <c r="O1644" t="n">
        <v>-95</v>
      </c>
      <c r="P1644" t="n">
        <v>0.005363</v>
      </c>
      <c r="Q1644" t="n">
        <v>40</v>
      </c>
      <c r="R1644" t="n">
        <v>0.0373</v>
      </c>
      <c r="S1644">
        <f>IMAGE("https://mitra.stanford.edu/kundaje/oak/projects/neuro-variants/variant_position/credible/roussos_2024/variant_figures/roussos_2024.adolescence.Astrocyte/rs17762308_count_position.png",4,220,900)</f>
        <v/>
      </c>
      <c r="T1644">
        <f>IMAGE("https://mitra.stanford.edu/kundaje/oak/projects/neuro-variants/variant_position/credible/roussos_2024/variant_figures/roussos_2024.adolescence.Astrocyte/rs17762308_profile_position.png",4,220,900)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0.0463962394</v>
      </c>
      <c r="G1645" t="n">
        <v>0.254268786059617</v>
      </c>
      <c r="H1645" t="n">
        <v>0.0153100103855034</v>
      </c>
      <c r="I1645" t="n">
        <v>0.3056823584800344</v>
      </c>
      <c r="J1645" t="n">
        <v>0.0465374002314333</v>
      </c>
      <c r="K1645" t="n">
        <v>0.4682158998706063</v>
      </c>
      <c r="L1645" t="b">
        <v>0</v>
      </c>
      <c r="M1645" t="b">
        <v>0</v>
      </c>
      <c r="N1645" t="inlineStr">
        <is>
          <t>alt</t>
        </is>
      </c>
      <c r="O1645" t="n">
        <v>70</v>
      </c>
      <c r="P1645" t="n">
        <v>0.02042</v>
      </c>
      <c r="Q1645" t="n">
        <v>70</v>
      </c>
      <c r="R1645" t="n">
        <v>0.2075</v>
      </c>
      <c r="S1645">
        <f>IMAGE("https://mitra.stanford.edu/kundaje/oak/projects/neuro-variants/variant_position/credible/roussos_2024/variant_figures/roussos_2024.adolescence.Astrocyte/rs62056909_count_position.png",4,220,900)</f>
        <v/>
      </c>
      <c r="T1645">
        <f>IMAGE("https://mitra.stanford.edu/kundaje/oak/projects/neuro-variants/variant_position/credible/roussos_2024/variant_figures/roussos_2024.adolescence.Astrocyte/rs62056909_profile_position.png",4,220,900)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-0.0292540008</v>
      </c>
      <c r="G1646" t="n">
        <v>0.4275685089829625</v>
      </c>
      <c r="H1646" t="n">
        <v>0.0114142448917117</v>
      </c>
      <c r="I1646" t="n">
        <v>0.6141457533775844</v>
      </c>
      <c r="J1646" t="n">
        <v>0.1103915081743464</v>
      </c>
      <c r="K1646" t="n">
        <v>0.3162567264921473</v>
      </c>
      <c r="L1646" t="b">
        <v>0</v>
      </c>
      <c r="M1646" t="b">
        <v>0</v>
      </c>
      <c r="N1646" t="inlineStr">
        <is>
          <t>ref</t>
        </is>
      </c>
      <c r="O1646" t="n">
        <v>100</v>
      </c>
      <c r="P1646" t="n">
        <v>0.008619999999999999</v>
      </c>
      <c r="Q1646" t="n">
        <v>100</v>
      </c>
      <c r="R1646" t="n">
        <v>0.1293</v>
      </c>
      <c r="S1646">
        <f>IMAGE("https://mitra.stanford.edu/kundaje/oak/projects/neuro-variants/variant_position/credible/roussos_2024/variant_figures/roussos_2024.adolescence.Astrocyte/rs62056910_count_position.png",4,220,900)</f>
        <v/>
      </c>
      <c r="T1646">
        <f>IMAGE("https://mitra.stanford.edu/kundaje/oak/projects/neuro-variants/variant_position/credible/roussos_2024/variant_figures/roussos_2024.adolescence.Astrocyte/rs62056910_profile_position.png",4,220,900)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0.1065907149999999</v>
      </c>
      <c r="G1647" t="n">
        <v>0.0772392135676615</v>
      </c>
      <c r="H1647" t="n">
        <v>0.0210961584931045</v>
      </c>
      <c r="I1647" t="n">
        <v>0.1205323997486297</v>
      </c>
      <c r="J1647" t="n">
        <v>0.1001921193958994</v>
      </c>
      <c r="K1647" t="n">
        <v>0.3369583619811259</v>
      </c>
      <c r="L1647" t="b">
        <v>0</v>
      </c>
      <c r="M1647" t="b">
        <v>0</v>
      </c>
      <c r="N1647" t="inlineStr">
        <is>
          <t>alt</t>
        </is>
      </c>
      <c r="O1647" t="n">
        <v>55</v>
      </c>
      <c r="P1647" t="n">
        <v>0.02133</v>
      </c>
      <c r="Q1647" t="n">
        <v>60</v>
      </c>
      <c r="R1647" t="n">
        <v>0.144</v>
      </c>
      <c r="S1647">
        <f>IMAGE("https://mitra.stanford.edu/kundaje/oak/projects/neuro-variants/variant_position/credible/roussos_2024/variant_figures/roussos_2024.adolescence.Astrocyte/rs62056912_count_position.png",4,220,900)</f>
        <v/>
      </c>
      <c r="T1647">
        <f>IMAGE("https://mitra.stanford.edu/kundaje/oak/projects/neuro-variants/variant_position/credible/roussos_2024/variant_figures/roussos_2024.adolescence.Astrocyte/rs62056912_profile_position.png",4,220,900)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0.0458897724</v>
      </c>
      <c r="G1648" t="n">
        <v>0.2586772211666803</v>
      </c>
      <c r="H1648" t="n">
        <v>0.0106966064862408</v>
      </c>
      <c r="I1648" t="n">
        <v>0.6723831082563041</v>
      </c>
      <c r="J1648" t="n">
        <v>0.09461027208260379</v>
      </c>
      <c r="K1648" t="n">
        <v>0.3327825812850575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0.005585</v>
      </c>
      <c r="Q1648" t="n">
        <v>-35</v>
      </c>
      <c r="R1648" t="n">
        <v>0.02417</v>
      </c>
      <c r="S1648">
        <f>IMAGE("https://mitra.stanford.edu/kundaje/oak/projects/neuro-variants/variant_position/credible/roussos_2024/variant_figures/roussos_2024.adolescence.Astrocyte/rs61667602_count_position.png",4,220,900)</f>
        <v/>
      </c>
      <c r="T1648">
        <f>IMAGE("https://mitra.stanford.edu/kundaje/oak/projects/neuro-variants/variant_position/credible/roussos_2024/variant_figures/roussos_2024.adolescence.Astrocyte/rs61667602_profile_position.png",4,220,900)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0.01886684676</v>
      </c>
      <c r="G1649" t="n">
        <v>0.5238897046019384</v>
      </c>
      <c r="H1649" t="n">
        <v>0.0105996399538383</v>
      </c>
      <c r="I1649" t="n">
        <v>0.6729601223851411</v>
      </c>
      <c r="J1649" t="n">
        <v>0.3368676378957362</v>
      </c>
      <c r="K1649" t="n">
        <v>0.1151603118205772</v>
      </c>
      <c r="L1649" t="b">
        <v>0</v>
      </c>
      <c r="M1649" t="b">
        <v>0</v>
      </c>
      <c r="N1649" t="inlineStr">
        <is>
          <t>alt</t>
        </is>
      </c>
      <c r="O1649" t="n">
        <v>95</v>
      </c>
      <c r="P1649" t="n">
        <v>0.0519</v>
      </c>
      <c r="Q1649" t="n">
        <v>95</v>
      </c>
      <c r="R1649" t="n">
        <v>0.481</v>
      </c>
      <c r="S1649">
        <f>IMAGE("https://mitra.stanford.edu/kundaje/oak/projects/neuro-variants/variant_position/credible/roussos_2024/variant_figures/roussos_2024.adolescence.Astrocyte/rs62056916_count_position.png",4,220,900)</f>
        <v/>
      </c>
      <c r="T1649">
        <f>IMAGE("https://mitra.stanford.edu/kundaje/oak/projects/neuro-variants/variant_position/credible/roussos_2024/variant_figures/roussos_2024.adolescence.Astrocyte/rs62056916_profile_position.png",4,220,900)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-0.332538988</v>
      </c>
      <c r="G1650" t="n">
        <v>0.0048011926274398</v>
      </c>
      <c r="H1650" t="n">
        <v>0.0331528285394667</v>
      </c>
      <c r="I1650" t="n">
        <v>0.0212754093859475</v>
      </c>
      <c r="J1650" t="n">
        <v>0.3529188796249592</v>
      </c>
      <c r="K1650" t="n">
        <v>0.1079328699312736</v>
      </c>
      <c r="L1650" t="b">
        <v>1</v>
      </c>
      <c r="M1650" t="b">
        <v>1</v>
      </c>
      <c r="N1650" t="inlineStr">
        <is>
          <t>ref</t>
        </is>
      </c>
      <c r="O1650" t="n">
        <v>20</v>
      </c>
      <c r="P1650" t="n">
        <v>0.012634</v>
      </c>
      <c r="Q1650" t="n">
        <v>20</v>
      </c>
      <c r="R1650" t="n">
        <v>0.03613</v>
      </c>
      <c r="S1650">
        <f>IMAGE("https://mitra.stanford.edu/kundaje/oak/projects/neuro-variants/variant_position/credible/roussos_2024/variant_figures/roussos_2024.adolescence.Astrocyte/rs62056917_count_position.png",4,220,900)</f>
        <v/>
      </c>
      <c r="T1650">
        <f>IMAGE("https://mitra.stanford.edu/kundaje/oak/projects/neuro-variants/variant_position/credible/roussos_2024/variant_figures/roussos_2024.adolescence.Astrocyte/rs62056917_profile_position.png",4,220,900)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0.0571560816799999</v>
      </c>
      <c r="G1651" t="n">
        <v>0.1953494372147781</v>
      </c>
      <c r="H1651" t="n">
        <v>0.0123625381621474</v>
      </c>
      <c r="I1651" t="n">
        <v>0.5202263216539955</v>
      </c>
      <c r="J1651" t="n">
        <v>0.2234734296650149</v>
      </c>
      <c r="K1651" t="n">
        <v>0.1868694797215679</v>
      </c>
      <c r="L1651" t="b">
        <v>0</v>
      </c>
      <c r="M1651" t="b">
        <v>0</v>
      </c>
      <c r="N1651" t="inlineStr">
        <is>
          <t>alt</t>
        </is>
      </c>
      <c r="O1651" t="n">
        <v>100</v>
      </c>
      <c r="P1651" t="n">
        <v>0.02043</v>
      </c>
      <c r="Q1651" t="n">
        <v>95</v>
      </c>
      <c r="R1651" t="n">
        <v>0.2207</v>
      </c>
      <c r="S1651">
        <f>IMAGE("https://mitra.stanford.edu/kundaje/oak/projects/neuro-variants/variant_position/credible/roussos_2024/variant_figures/roussos_2024.adolescence.Astrocyte/rs17762535_count_position.png",4,220,900)</f>
        <v/>
      </c>
      <c r="T1651">
        <f>IMAGE("https://mitra.stanford.edu/kundaje/oak/projects/neuro-variants/variant_position/credible/roussos_2024/variant_figures/roussos_2024.adolescence.Astrocyte/rs17762535_profile_position.png",4,220,900)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-0.19313431</v>
      </c>
      <c r="G1652" t="n">
        <v>0.0196482987784286</v>
      </c>
      <c r="H1652" t="n">
        <v>0.0267535791856789</v>
      </c>
      <c r="I1652" t="n">
        <v>0.049323046312743</v>
      </c>
      <c r="J1652" t="n">
        <v>0.2561211168145269</v>
      </c>
      <c r="K1652" t="n">
        <v>0.1617457369444631</v>
      </c>
      <c r="L1652" t="b">
        <v>1</v>
      </c>
      <c r="M1652" t="b">
        <v>0</v>
      </c>
      <c r="N1652" t="inlineStr">
        <is>
          <t>ref</t>
        </is>
      </c>
      <c r="O1652" t="n">
        <v>5</v>
      </c>
      <c r="P1652" t="n">
        <v>0.0001373</v>
      </c>
      <c r="Q1652" t="n">
        <v>0</v>
      </c>
      <c r="R1652" t="n">
        <v>0</v>
      </c>
      <c r="S1652">
        <f>IMAGE("https://mitra.stanford.edu/kundaje/oak/projects/neuro-variants/variant_position/credible/roussos_2024/variant_figures/roussos_2024.adolescence.Astrocyte/rs62056920_count_position.png",4,220,900)</f>
        <v/>
      </c>
      <c r="T1652">
        <f>IMAGE("https://mitra.stanford.edu/kundaje/oak/projects/neuro-variants/variant_position/credible/roussos_2024/variant_figures/roussos_2024.adolescence.Astrocyte/rs62056920_profile_position.png",4,220,900)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0.0220541334</v>
      </c>
      <c r="G1653" t="n">
        <v>0.5009028588937539</v>
      </c>
      <c r="H1653" t="n">
        <v>0.0423240997580353</v>
      </c>
      <c r="I1653" t="n">
        <v>0.0075679458960848</v>
      </c>
      <c r="J1653" t="n">
        <v>0.0349635047325163</v>
      </c>
      <c r="K1653" t="n">
        <v>0.5313684353691125</v>
      </c>
      <c r="L1653" t="b">
        <v>1</v>
      </c>
      <c r="M1653" t="b">
        <v>0</v>
      </c>
      <c r="N1653" t="inlineStr">
        <is>
          <t>alt</t>
        </is>
      </c>
      <c r="O1653" t="n">
        <v>-95</v>
      </c>
      <c r="P1653" t="n">
        <v>0.00714</v>
      </c>
      <c r="Q1653" t="n">
        <v>-100</v>
      </c>
      <c r="R1653" t="n">
        <v>0.1393</v>
      </c>
      <c r="S1653">
        <f>IMAGE("https://mitra.stanford.edu/kundaje/oak/projects/neuro-variants/variant_position/credible/roussos_2024/variant_figures/roussos_2024.adolescence.Astrocyte/rs55973918_count_position.png",4,220,900)</f>
        <v/>
      </c>
      <c r="T1653">
        <f>IMAGE("https://mitra.stanford.edu/kundaje/oak/projects/neuro-variants/variant_position/credible/roussos_2024/variant_figures/roussos_2024.adolescence.Astrocyte/rs55973918_profile_position.png",4,220,900)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-0.0259404603999999</v>
      </c>
      <c r="G1654" t="n">
        <v>0.3826445361521403</v>
      </c>
      <c r="H1654" t="n">
        <v>0.0119105302123967</v>
      </c>
      <c r="I1654" t="n">
        <v>0.5491965811875262</v>
      </c>
      <c r="J1654" t="n">
        <v>0.186191882028306</v>
      </c>
      <c r="K1654" t="n">
        <v>0.2185663780361709</v>
      </c>
      <c r="L1654" t="b">
        <v>0</v>
      </c>
      <c r="M1654" t="b">
        <v>0</v>
      </c>
      <c r="N1654" t="inlineStr">
        <is>
          <t>ref</t>
        </is>
      </c>
      <c r="O1654" t="n">
        <v>-55</v>
      </c>
      <c r="P1654" t="n">
        <v>0.001289</v>
      </c>
      <c r="Q1654" t="n">
        <v>10</v>
      </c>
      <c r="R1654" t="n">
        <v>0.0473</v>
      </c>
      <c r="S1654">
        <f>IMAGE("https://mitra.stanford.edu/kundaje/oak/projects/neuro-variants/variant_position/credible/roussos_2024/variant_figures/roussos_2024.adolescence.Astrocyte/rs7502937_count_position.png",4,220,900)</f>
        <v/>
      </c>
      <c r="T1654">
        <f>IMAGE("https://mitra.stanford.edu/kundaje/oak/projects/neuro-variants/variant_position/credible/roussos_2024/variant_figures/roussos_2024.adolescence.Astrocyte/rs7502937_profile_position.png",4,220,900)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-0.0116161564999999</v>
      </c>
      <c r="G1655" t="n">
        <v>0.5428110494014274</v>
      </c>
      <c r="H1655" t="n">
        <v>0.0130637580868006</v>
      </c>
      <c r="I1655" t="n">
        <v>0.4588991700027168</v>
      </c>
      <c r="J1655" t="n">
        <v>0.355181289499451</v>
      </c>
      <c r="K1655" t="n">
        <v>0.1068107765718484</v>
      </c>
      <c r="L1655" t="b">
        <v>0</v>
      </c>
      <c r="M1655" t="b">
        <v>0</v>
      </c>
      <c r="N1655" t="inlineStr">
        <is>
          <t>ref</t>
        </is>
      </c>
      <c r="O1655" t="n">
        <v>50</v>
      </c>
      <c r="P1655" t="n">
        <v>0.02106</v>
      </c>
      <c r="Q1655" t="n">
        <v>90</v>
      </c>
      <c r="R1655" t="n">
        <v>0.2207</v>
      </c>
      <c r="S1655">
        <f>IMAGE("https://mitra.stanford.edu/kundaje/oak/projects/neuro-variants/variant_position/credible/roussos_2024/variant_figures/roussos_2024.adolescence.Astrocyte/rs75310534_count_position.png",4,220,900)</f>
        <v/>
      </c>
      <c r="T1655">
        <f>IMAGE("https://mitra.stanford.edu/kundaje/oak/projects/neuro-variants/variant_position/credible/roussos_2024/variant_figures/roussos_2024.adolescence.Astrocyte/rs75310534_profile_position.png",4,220,900)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0.1138068262</v>
      </c>
      <c r="G1656" t="n">
        <v>0.0698604757586188</v>
      </c>
      <c r="H1656" t="n">
        <v>0.0288532610389381</v>
      </c>
      <c r="I1656" t="n">
        <v>0.0370994085243346</v>
      </c>
      <c r="J1656" t="n">
        <v>0.0027364032875411</v>
      </c>
      <c r="K1656" t="n">
        <v>0.7938393464116739</v>
      </c>
      <c r="L1656" t="b">
        <v>0</v>
      </c>
      <c r="M1656" t="b">
        <v>0</v>
      </c>
      <c r="N1656" t="inlineStr">
        <is>
          <t>alt</t>
        </is>
      </c>
      <c r="O1656" t="n">
        <v>70</v>
      </c>
      <c r="P1656" t="n">
        <v>0.1206</v>
      </c>
      <c r="Q1656" t="n">
        <v>70</v>
      </c>
      <c r="R1656" t="n">
        <v>0.1777</v>
      </c>
      <c r="S1656">
        <f>IMAGE("https://mitra.stanford.edu/kundaje/oak/projects/neuro-variants/variant_position/credible/roussos_2024/variant_figures/roussos_2024.adolescence.Astrocyte/rs111415173_count_position.png",4,220,900)</f>
        <v/>
      </c>
      <c r="T1656">
        <f>IMAGE("https://mitra.stanford.edu/kundaje/oak/projects/neuro-variants/variant_position/credible/roussos_2024/variant_figures/roussos_2024.adolescence.Astrocyte/rs111415173_profile_position.png",4,220,900)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-0.0320794136</v>
      </c>
      <c r="G1657" t="n">
        <v>0.3947086758967424</v>
      </c>
      <c r="H1657" t="n">
        <v>0.0101543416237511</v>
      </c>
      <c r="I1657" t="n">
        <v>0.6531511210055444</v>
      </c>
      <c r="J1657" t="n">
        <v>0.0027312108714357</v>
      </c>
      <c r="K1657" t="n">
        <v>0.789398622520777</v>
      </c>
      <c r="L1657" t="b">
        <v>0</v>
      </c>
      <c r="M1657" t="b">
        <v>0</v>
      </c>
      <c r="N1657" t="inlineStr">
        <is>
          <t>ref</t>
        </is>
      </c>
      <c r="O1657" t="n">
        <v>-30</v>
      </c>
      <c r="P1657" t="n">
        <v>0.001221</v>
      </c>
      <c r="Q1657" t="n">
        <v>10</v>
      </c>
      <c r="R1657" t="n">
        <v>0.03056</v>
      </c>
      <c r="S1657">
        <f>IMAGE("https://mitra.stanford.edu/kundaje/oak/projects/neuro-variants/variant_position/credible/roussos_2024/variant_figures/roussos_2024.adolescence.Astrocyte/rs113991678_count_position.png",4,220,900)</f>
        <v/>
      </c>
      <c r="T1657">
        <f>IMAGE("https://mitra.stanford.edu/kundaje/oak/projects/neuro-variants/variant_position/credible/roussos_2024/variant_figures/roussos_2024.adolescence.Astrocyte/rs113991678_profile_position.png",4,220,900)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0.236648172</v>
      </c>
      <c r="G1658" t="n">
        <v>0.0135813214025394</v>
      </c>
      <c r="H1658" t="n">
        <v>0.0332545075801091</v>
      </c>
      <c r="I1658" t="n">
        <v>0.0266541061646408</v>
      </c>
      <c r="J1658" t="n">
        <v>0.2265859122333323</v>
      </c>
      <c r="K1658" t="n">
        <v>0.1836924121567792</v>
      </c>
      <c r="L1658" t="b">
        <v>1</v>
      </c>
      <c r="M1658" t="b">
        <v>0</v>
      </c>
      <c r="N1658" t="inlineStr">
        <is>
          <t>alt</t>
        </is>
      </c>
      <c r="O1658" t="n">
        <v>-35</v>
      </c>
      <c r="P1658" t="n">
        <v>0.003819</v>
      </c>
      <c r="Q1658" t="n">
        <v>-100</v>
      </c>
      <c r="R1658" t="n">
        <v>0.05164</v>
      </c>
      <c r="S1658">
        <f>IMAGE("https://mitra.stanford.edu/kundaje/oak/projects/neuro-variants/variant_position/credible/roussos_2024/variant_figures/roussos_2024.adolescence.Astrocyte/rs55838058_count_position.png",4,220,900)</f>
        <v/>
      </c>
      <c r="T1658">
        <f>IMAGE("https://mitra.stanford.edu/kundaje/oak/projects/neuro-variants/variant_position/credible/roussos_2024/variant_figures/roussos_2024.adolescence.Astrocyte/rs55838058_profile_position.png",4,220,900)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0.0459960848</v>
      </c>
      <c r="G1659" t="n">
        <v>0.2714218347151654</v>
      </c>
      <c r="H1659" t="n">
        <v>0.0336221357640332</v>
      </c>
      <c r="I1659" t="n">
        <v>0.0198979533936816</v>
      </c>
      <c r="J1659" t="n">
        <v>0.5505177580630805</v>
      </c>
      <c r="K1659" t="n">
        <v>0.0435030597412641</v>
      </c>
      <c r="L1659" t="b">
        <v>1</v>
      </c>
      <c r="M1659" t="b">
        <v>0</v>
      </c>
      <c r="N1659" t="inlineStr">
        <is>
          <t>alt</t>
        </is>
      </c>
      <c r="O1659" t="n">
        <v>100</v>
      </c>
      <c r="P1659" t="n">
        <v>0.02118</v>
      </c>
      <c r="Q1659" t="n">
        <v>100</v>
      </c>
      <c r="R1659" t="n">
        <v>0.309</v>
      </c>
      <c r="S1659">
        <f>IMAGE("https://mitra.stanford.edu/kundaje/oak/projects/neuro-variants/variant_position/credible/roussos_2024/variant_figures/roussos_2024.adolescence.Astrocyte/rs62054378_count_position.png",4,220,900)</f>
        <v/>
      </c>
      <c r="T1659">
        <f>IMAGE("https://mitra.stanford.edu/kundaje/oak/projects/neuro-variants/variant_position/credible/roussos_2024/variant_figures/roussos_2024.adolescence.Astrocyte/rs62054378_profile_position.png",4,220,900)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-0.0724265244</v>
      </c>
      <c r="G1660" t="n">
        <v>0.1401272257900093</v>
      </c>
      <c r="H1660" t="n">
        <v>0.0229571837251891</v>
      </c>
      <c r="I1660" t="n">
        <v>0.0913963344895099</v>
      </c>
      <c r="J1660" t="n">
        <v>0.4941533394653294</v>
      </c>
      <c r="K1660" t="n">
        <v>0.0576307698031955</v>
      </c>
      <c r="L1660" t="b">
        <v>0</v>
      </c>
      <c r="M1660" t="b">
        <v>0</v>
      </c>
      <c r="N1660" t="inlineStr">
        <is>
          <t>ref</t>
        </is>
      </c>
      <c r="O1660" t="n">
        <v>15</v>
      </c>
      <c r="P1660" t="n">
        <v>0.00116</v>
      </c>
      <c r="Q1660" t="n">
        <v>-40</v>
      </c>
      <c r="R1660" t="n">
        <v>0.02588</v>
      </c>
      <c r="S1660">
        <f>IMAGE("https://mitra.stanford.edu/kundaje/oak/projects/neuro-variants/variant_position/credible/roussos_2024/variant_figures/roussos_2024.adolescence.Astrocyte/rs77819001_count_position.png",4,220,900)</f>
        <v/>
      </c>
      <c r="T1660">
        <f>IMAGE("https://mitra.stanford.edu/kundaje/oak/projects/neuro-variants/variant_position/credible/roussos_2024/variant_figures/roussos_2024.adolescence.Astrocyte/rs77819001_profile_position.png",4,220,900)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-0.238670602</v>
      </c>
      <c r="G1661" t="n">
        <v>0.0117437004915256</v>
      </c>
      <c r="H1661" t="n">
        <v>0.0650824748618349</v>
      </c>
      <c r="I1661" t="n">
        <v>0.0015341922107299</v>
      </c>
      <c r="J1661" t="n">
        <v>0.4891856807999287</v>
      </c>
      <c r="K1661" t="n">
        <v>0.0590061046164961</v>
      </c>
      <c r="L1661" t="b">
        <v>1</v>
      </c>
      <c r="M1661" t="b">
        <v>1</v>
      </c>
      <c r="N1661" t="inlineStr">
        <is>
          <t>ref</t>
        </is>
      </c>
      <c r="O1661" t="n">
        <v>20</v>
      </c>
      <c r="P1661" t="n">
        <v>0.0007324</v>
      </c>
      <c r="Q1661" t="n">
        <v>-45</v>
      </c>
      <c r="R1661" t="n">
        <v>0.03418</v>
      </c>
      <c r="S1661">
        <f>IMAGE("https://mitra.stanford.edu/kundaje/oak/projects/neuro-variants/variant_position/credible/roussos_2024/variant_figures/roussos_2024.adolescence.Astrocyte/rs76667867_count_position.png",4,220,900)</f>
        <v/>
      </c>
      <c r="T1661">
        <f>IMAGE("https://mitra.stanford.edu/kundaje/oak/projects/neuro-variants/variant_position/credible/roussos_2024/variant_figures/roussos_2024.adolescence.Astrocyte/rs76667867_profile_position.png",4,220,900)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-0.0403249608399999</v>
      </c>
      <c r="G1662" t="n">
        <v>0.3141465182962447</v>
      </c>
      <c r="H1662" t="n">
        <v>0.0163350052839935</v>
      </c>
      <c r="I1662" t="n">
        <v>0.253309273961408</v>
      </c>
      <c r="J1662" t="n">
        <v>0.0051442008129839</v>
      </c>
      <c r="K1662" t="n">
        <v>0.7516351461900557</v>
      </c>
      <c r="L1662" t="b">
        <v>0</v>
      </c>
      <c r="M1662" t="b">
        <v>0</v>
      </c>
      <c r="N1662" t="inlineStr">
        <is>
          <t>ref</t>
        </is>
      </c>
      <c r="O1662" t="n">
        <v>-15</v>
      </c>
      <c r="P1662" t="n">
        <v>0.003212</v>
      </c>
      <c r="Q1662" t="n">
        <v>90</v>
      </c>
      <c r="R1662" t="n">
        <v>0.009889999999999999</v>
      </c>
      <c r="S1662">
        <f>IMAGE("https://mitra.stanford.edu/kundaje/oak/projects/neuro-variants/variant_position/credible/roussos_2024/variant_figures/roussos_2024.adolescence.Astrocyte/rs62054381_count_position.png",4,220,900)</f>
        <v/>
      </c>
      <c r="T1662">
        <f>IMAGE("https://mitra.stanford.edu/kundaje/oak/projects/neuro-variants/variant_position/credible/roussos_2024/variant_figures/roussos_2024.adolescence.Astrocyte/rs62054381_profile_position.png",4,220,900)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0.220704456</v>
      </c>
      <c r="G1663" t="n">
        <v>0.0139360588301946</v>
      </c>
      <c r="H1663" t="n">
        <v>0.0354492089915695</v>
      </c>
      <c r="I1663" t="n">
        <v>0.0162348104299395</v>
      </c>
      <c r="J1663" t="n">
        <v>0.1997314779099783</v>
      </c>
      <c r="K1663" t="n">
        <v>0.2024466113904035</v>
      </c>
      <c r="L1663" t="b">
        <v>1</v>
      </c>
      <c r="M1663" t="b">
        <v>0</v>
      </c>
      <c r="N1663" t="inlineStr">
        <is>
          <t>alt</t>
        </is>
      </c>
      <c r="O1663" t="n">
        <v>-100</v>
      </c>
      <c r="P1663" t="n">
        <v>0.001406</v>
      </c>
      <c r="Q1663" t="n">
        <v>85</v>
      </c>
      <c r="R1663" t="n">
        <v>0.1232</v>
      </c>
      <c r="S1663">
        <f>IMAGE("https://mitra.stanford.edu/kundaje/oak/projects/neuro-variants/variant_position/credible/roussos_2024/variant_figures/roussos_2024.adolescence.Astrocyte/rs62054383_count_position.png",4,220,900)</f>
        <v/>
      </c>
      <c r="T1663">
        <f>IMAGE("https://mitra.stanford.edu/kundaje/oak/projects/neuro-variants/variant_position/credible/roussos_2024/variant_figures/roussos_2024.adolescence.Astrocyte/rs62054383_profile_position.png",4,220,900)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-0.1195550512</v>
      </c>
      <c r="G1664" t="n">
        <v>0.0570462059833655</v>
      </c>
      <c r="H1664" t="n">
        <v>0.0164401716832796</v>
      </c>
      <c r="I1664" t="n">
        <v>0.2494499559901957</v>
      </c>
      <c r="J1664" t="n">
        <v>0.0435881078835711</v>
      </c>
      <c r="K1664" t="n">
        <v>0.4545576350071799</v>
      </c>
      <c r="L1664" t="b">
        <v>0</v>
      </c>
      <c r="M1664" t="b">
        <v>0</v>
      </c>
      <c r="N1664" t="inlineStr">
        <is>
          <t>ref</t>
        </is>
      </c>
      <c r="O1664" t="n">
        <v>100</v>
      </c>
      <c r="P1664" t="n">
        <v>0.01046</v>
      </c>
      <c r="Q1664" t="n">
        <v>95</v>
      </c>
      <c r="R1664" t="n">
        <v>0.2056</v>
      </c>
      <c r="S1664">
        <f>IMAGE("https://mitra.stanford.edu/kundaje/oak/projects/neuro-variants/variant_position/credible/roussos_2024/variant_figures/roussos_2024.adolescence.Astrocyte/rs56380663_count_position.png",4,220,900)</f>
        <v/>
      </c>
      <c r="T1664">
        <f>IMAGE("https://mitra.stanford.edu/kundaje/oak/projects/neuro-variants/variant_position/credible/roussos_2024/variant_figures/roussos_2024.adolescence.Astrocyte/rs56380663_profile_position.png",4,220,900)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0.017668485</v>
      </c>
      <c r="G1665" t="n">
        <v>0.4066578006399272</v>
      </c>
      <c r="H1665" t="n">
        <v>0.020133729752905</v>
      </c>
      <c r="I1665" t="n">
        <v>0.1588006232126416</v>
      </c>
      <c r="J1665" t="n">
        <v>0.1020176245438091</v>
      </c>
      <c r="K1665" t="n">
        <v>0.3324807512740843</v>
      </c>
      <c r="L1665" t="b">
        <v>0</v>
      </c>
      <c r="M1665" t="b">
        <v>0</v>
      </c>
      <c r="N1665" t="inlineStr">
        <is>
          <t>alt</t>
        </is>
      </c>
      <c r="O1665" t="n">
        <v>40</v>
      </c>
      <c r="P1665" t="n">
        <v>0.001942</v>
      </c>
      <c r="Q1665" t="n">
        <v>-100</v>
      </c>
      <c r="R1665" t="n">
        <v>0.11926</v>
      </c>
      <c r="S1665">
        <f>IMAGE("https://mitra.stanford.edu/kundaje/oak/projects/neuro-variants/variant_position/credible/roussos_2024/variant_figures/roussos_2024.adolescence.Astrocyte/rs62054388_count_position.png",4,220,900)</f>
        <v/>
      </c>
      <c r="T1665">
        <f>IMAGE("https://mitra.stanford.edu/kundaje/oak/projects/neuro-variants/variant_position/credible/roussos_2024/variant_figures/roussos_2024.adolescence.Astrocyte/rs62054388_profile_position.png",4,220,900)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0.0995124263999999</v>
      </c>
      <c r="G1666" t="n">
        <v>0.0808155329563283</v>
      </c>
      <c r="H1666" t="n">
        <v>0.0214819544093327</v>
      </c>
      <c r="I1666" t="n">
        <v>0.1121502271001121</v>
      </c>
      <c r="J1666" t="n">
        <v>0.2358491825653502</v>
      </c>
      <c r="K1666" t="n">
        <v>0.1772803927867353</v>
      </c>
      <c r="L1666" t="b">
        <v>0</v>
      </c>
      <c r="M1666" t="b">
        <v>0</v>
      </c>
      <c r="N1666" t="inlineStr">
        <is>
          <t>alt</t>
        </is>
      </c>
      <c r="O1666" t="n">
        <v>85</v>
      </c>
      <c r="P1666" t="n">
        <v>0.004253</v>
      </c>
      <c r="Q1666" t="n">
        <v>-50</v>
      </c>
      <c r="R1666" t="n">
        <v>0.04883</v>
      </c>
      <c r="S1666">
        <f>IMAGE("https://mitra.stanford.edu/kundaje/oak/projects/neuro-variants/variant_position/credible/roussos_2024/variant_figures/roussos_2024.adolescence.Astrocyte/rs4401083_count_position.png",4,220,900)</f>
        <v/>
      </c>
      <c r="T1666">
        <f>IMAGE("https://mitra.stanford.edu/kundaje/oak/projects/neuro-variants/variant_position/credible/roussos_2024/variant_figures/roussos_2024.adolescence.Astrocyte/rs4401083_profile_position.png",4,220,900)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-0.03850829768</v>
      </c>
      <c r="G1667" t="n">
        <v>0.3526742924876694</v>
      </c>
      <c r="H1667" t="n">
        <v>0.011115363132144</v>
      </c>
      <c r="I1667" t="n">
        <v>0.6379625085195608</v>
      </c>
      <c r="J1667" t="n">
        <v>0.3562435094798682</v>
      </c>
      <c r="K1667" t="n">
        <v>0.1056320247305582</v>
      </c>
      <c r="L1667" t="b">
        <v>0</v>
      </c>
      <c r="M1667" t="b">
        <v>0</v>
      </c>
      <c r="N1667" t="inlineStr">
        <is>
          <t>ref</t>
        </is>
      </c>
      <c r="O1667" t="n">
        <v>80</v>
      </c>
      <c r="P1667" t="n">
        <v>0.00659</v>
      </c>
      <c r="Q1667" t="n">
        <v>-85</v>
      </c>
      <c r="R1667" t="n">
        <v>0.08026</v>
      </c>
      <c r="S1667">
        <f>IMAGE("https://mitra.stanford.edu/kundaje/oak/projects/neuro-variants/variant_position/credible/roussos_2024/variant_figures/roussos_2024.adolescence.Astrocyte/rs1880752_count_position.png",4,220,900)</f>
        <v/>
      </c>
      <c r="T1667">
        <f>IMAGE("https://mitra.stanford.edu/kundaje/oak/projects/neuro-variants/variant_position/credible/roussos_2024/variant_figures/roussos_2024.adolescence.Astrocyte/rs1880752_profile_position.png",4,220,900)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-0.112262891</v>
      </c>
      <c r="G1668" t="n">
        <v>0.0742326621393356</v>
      </c>
      <c r="H1668" t="n">
        <v>0.0327348983509931</v>
      </c>
      <c r="I1668" t="n">
        <v>0.02282631456989</v>
      </c>
      <c r="J1668" t="n">
        <v>0.2893703824585348</v>
      </c>
      <c r="K1668" t="n">
        <v>0.1401685384796662</v>
      </c>
      <c r="L1668" t="b">
        <v>0</v>
      </c>
      <c r="M1668" t="b">
        <v>0</v>
      </c>
      <c r="N1668" t="inlineStr">
        <is>
          <t>ref</t>
        </is>
      </c>
      <c r="O1668" t="n">
        <v>-95</v>
      </c>
      <c r="P1668" t="n">
        <v>0.02937</v>
      </c>
      <c r="Q1668" t="n">
        <v>-95</v>
      </c>
      <c r="R1668" t="n">
        <v>0.2256</v>
      </c>
      <c r="S1668">
        <f>IMAGE("https://mitra.stanford.edu/kundaje/oak/projects/neuro-variants/variant_position/credible/roussos_2024/variant_figures/roussos_2024.adolescence.Astrocyte/rs2864087_count_position.png",4,220,900)</f>
        <v/>
      </c>
      <c r="T1668">
        <f>IMAGE("https://mitra.stanford.edu/kundaje/oak/projects/neuro-variants/variant_position/credible/roussos_2024/variant_figures/roussos_2024.adolescence.Astrocyte/rs2864087_profile_position.png",4,220,900)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-0.186146228</v>
      </c>
      <c r="G1669" t="n">
        <v>0.0244290335885932</v>
      </c>
      <c r="H1669" t="n">
        <v>0.0436953022811816</v>
      </c>
      <c r="I1669" t="n">
        <v>0.0078258399613751</v>
      </c>
      <c r="J1669" t="n">
        <v>0.2568673411862445</v>
      </c>
      <c r="K1669" t="n">
        <v>0.160930582716592</v>
      </c>
      <c r="L1669" t="b">
        <v>1</v>
      </c>
      <c r="M1669" t="b">
        <v>1</v>
      </c>
      <c r="N1669" t="inlineStr">
        <is>
          <t>ref</t>
        </is>
      </c>
      <c r="O1669" t="n">
        <v>65</v>
      </c>
      <c r="P1669" t="n">
        <v>0.008835000000000001</v>
      </c>
      <c r="Q1669" t="n">
        <v>-55</v>
      </c>
      <c r="R1669" t="n">
        <v>0.06433</v>
      </c>
      <c r="S1669">
        <f>IMAGE("https://mitra.stanford.edu/kundaje/oak/projects/neuro-variants/variant_position/credible/roussos_2024/variant_figures/roussos_2024.adolescence.Astrocyte/rs4609899_count_position.png",4,220,900)</f>
        <v/>
      </c>
      <c r="T1669">
        <f>IMAGE("https://mitra.stanford.edu/kundaje/oak/projects/neuro-variants/variant_position/credible/roussos_2024/variant_figures/roussos_2024.adolescence.Astrocyte/rs4609899_profile_position.png",4,220,900)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-0.0344657456</v>
      </c>
      <c r="G1670" t="n">
        <v>0.3538963924913825</v>
      </c>
      <c r="H1670" t="n">
        <v>0.0160790629856565</v>
      </c>
      <c r="I1670" t="n">
        <v>0.2697863266843184</v>
      </c>
      <c r="J1670" t="n">
        <v>0.008054179153191</v>
      </c>
      <c r="K1670" t="n">
        <v>0.7239841182320405</v>
      </c>
      <c r="L1670" t="b">
        <v>0</v>
      </c>
      <c r="M1670" t="b">
        <v>0</v>
      </c>
      <c r="N1670" t="inlineStr">
        <is>
          <t>ref</t>
        </is>
      </c>
      <c r="O1670" t="n">
        <v>-30</v>
      </c>
      <c r="P1670" t="n">
        <v>0.002375</v>
      </c>
      <c r="Q1670" t="n">
        <v>-95</v>
      </c>
      <c r="R1670" t="n">
        <v>0.12354</v>
      </c>
      <c r="S1670">
        <f>IMAGE("https://mitra.stanford.edu/kundaje/oak/projects/neuro-variants/variant_position/credible/roussos_2024/variant_figures/roussos_2024.adolescence.Astrocyte/rs62054393_count_position.png",4,220,900)</f>
        <v/>
      </c>
      <c r="T1670">
        <f>IMAGE("https://mitra.stanford.edu/kundaje/oak/projects/neuro-variants/variant_position/credible/roussos_2024/variant_figures/roussos_2024.adolescence.Astrocyte/rs62054393_profile_position.png",4,220,900)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0.196054437</v>
      </c>
      <c r="G1671" t="n">
        <v>0.0210099462819031</v>
      </c>
      <c r="H1671" t="n">
        <v>0.0289657660237972</v>
      </c>
      <c r="I1671" t="n">
        <v>0.0362775843646549</v>
      </c>
      <c r="J1671" t="n">
        <v>0.105066314571403</v>
      </c>
      <c r="K1671" t="n">
        <v>0.3148129150286578</v>
      </c>
      <c r="L1671" t="b">
        <v>0</v>
      </c>
      <c r="M1671" t="b">
        <v>0</v>
      </c>
      <c r="N1671" t="inlineStr">
        <is>
          <t>alt</t>
        </is>
      </c>
      <c r="O1671" t="n">
        <v>100</v>
      </c>
      <c r="P1671" t="n">
        <v>0.064</v>
      </c>
      <c r="Q1671" t="n">
        <v>-50</v>
      </c>
      <c r="R1671" t="n">
        <v>0.3362</v>
      </c>
      <c r="S1671">
        <f>IMAGE("https://mitra.stanford.edu/kundaje/oak/projects/neuro-variants/variant_position/credible/roussos_2024/variant_figures/roussos_2024.adolescence.Astrocyte/rs113790915_count_position.png",4,220,900)</f>
        <v/>
      </c>
      <c r="T1671">
        <f>IMAGE("https://mitra.stanford.edu/kundaje/oak/projects/neuro-variants/variant_position/credible/roussos_2024/variant_figures/roussos_2024.adolescence.Astrocyte/rs113790915_profile_position.png",4,220,900)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0.391548972</v>
      </c>
      <c r="G1672" t="n">
        <v>0.0027332556402457</v>
      </c>
      <c r="H1672" t="n">
        <v>0.0489176139711024</v>
      </c>
      <c r="I1672" t="n">
        <v>0.0042772768132994</v>
      </c>
      <c r="J1672" t="n">
        <v>0.1652916654303771</v>
      </c>
      <c r="K1672" t="n">
        <v>0.2371620950797364</v>
      </c>
      <c r="L1672" t="b">
        <v>1</v>
      </c>
      <c r="M1672" t="b">
        <v>1</v>
      </c>
      <c r="N1672" t="inlineStr">
        <is>
          <t>alt</t>
        </is>
      </c>
      <c r="O1672" t="n">
        <v>5</v>
      </c>
      <c r="P1672" t="n">
        <v>0.001709</v>
      </c>
      <c r="Q1672" t="n">
        <v>5</v>
      </c>
      <c r="R1672" t="n">
        <v>0.002686</v>
      </c>
      <c r="S1672">
        <f>IMAGE("https://mitra.stanford.edu/kundaje/oak/projects/neuro-variants/variant_position/credible/roussos_2024/variant_figures/roussos_2024.adolescence.Astrocyte/rs75022332_count_position.png",4,220,900)</f>
        <v/>
      </c>
      <c r="T1672">
        <f>IMAGE("https://mitra.stanford.edu/kundaje/oak/projects/neuro-variants/variant_position/credible/roussos_2024/variant_figures/roussos_2024.adolescence.Astrocyte/rs75022332_profile_position.png",4,220,900)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-0.0614126416</v>
      </c>
      <c r="G1673" t="n">
        <v>0.1741236670331739</v>
      </c>
      <c r="H1673" t="n">
        <v>0.014377843587415</v>
      </c>
      <c r="I1673" t="n">
        <v>0.3610444355721953</v>
      </c>
      <c r="J1673" t="n">
        <v>0.0765814615909562</v>
      </c>
      <c r="K1673" t="n">
        <v>0.370330423399455</v>
      </c>
      <c r="L1673" t="b">
        <v>0</v>
      </c>
      <c r="M1673" t="b">
        <v>0</v>
      </c>
      <c r="N1673" t="inlineStr">
        <is>
          <t>ref</t>
        </is>
      </c>
      <c r="O1673" t="n">
        <v>-15</v>
      </c>
      <c r="P1673" t="n">
        <v>0.001801</v>
      </c>
      <c r="Q1673" t="n">
        <v>-15</v>
      </c>
      <c r="R1673" t="n">
        <v>0.02185</v>
      </c>
      <c r="S1673">
        <f>IMAGE("https://mitra.stanford.edu/kundaje/oak/projects/neuro-variants/variant_position/credible/roussos_2024/variant_figures/roussos_2024.adolescence.Astrocyte/rs77804065_count_position.png",4,220,900)</f>
        <v/>
      </c>
      <c r="T1673">
        <f>IMAGE("https://mitra.stanford.edu/kundaje/oak/projects/neuro-variants/variant_position/credible/roussos_2024/variant_figures/roussos_2024.adolescence.Astrocyte/rs77804065_profile_position.png",4,220,900)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-0.09213889659999989</v>
      </c>
      <c r="G1674" t="n">
        <v>0.1153566777435176</v>
      </c>
      <c r="H1674" t="n">
        <v>0.0230566509117722</v>
      </c>
      <c r="I1674" t="n">
        <v>0.08622682201538109</v>
      </c>
      <c r="J1674" t="n">
        <v>0.0013018128949944</v>
      </c>
      <c r="K1674" t="n">
        <v>0.8674700448154604</v>
      </c>
      <c r="L1674" t="b">
        <v>0</v>
      </c>
      <c r="M1674" t="b">
        <v>0</v>
      </c>
      <c r="N1674" t="inlineStr">
        <is>
          <t>ref</t>
        </is>
      </c>
      <c r="O1674" t="n">
        <v>85</v>
      </c>
      <c r="P1674" t="n">
        <v>0.02646</v>
      </c>
      <c r="Q1674" t="n">
        <v>35</v>
      </c>
      <c r="R1674" t="n">
        <v>0.08749999999999999</v>
      </c>
      <c r="S1674">
        <f>IMAGE("https://mitra.stanford.edu/kundaje/oak/projects/neuro-variants/variant_position/credible/roussos_2024/variant_figures/roussos_2024.adolescence.Astrocyte/rs62054398_count_position.png",4,220,900)</f>
        <v/>
      </c>
      <c r="T1674">
        <f>IMAGE("https://mitra.stanford.edu/kundaje/oak/projects/neuro-variants/variant_position/credible/roussos_2024/variant_figures/roussos_2024.adolescence.Astrocyte/rs62054398_profile_position.png",4,220,900)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-0.0867594132</v>
      </c>
      <c r="G1675" t="n">
        <v>0.103630448690151</v>
      </c>
      <c r="H1675" t="n">
        <v>0.0117327679583141</v>
      </c>
      <c r="I1675" t="n">
        <v>0.5729047317719956</v>
      </c>
      <c r="J1675" t="n">
        <v>0.0012172506898495</v>
      </c>
      <c r="K1675" t="n">
        <v>0.8735557918809526</v>
      </c>
      <c r="L1675" t="b">
        <v>0</v>
      </c>
      <c r="M1675" t="b">
        <v>0</v>
      </c>
      <c r="N1675" t="inlineStr">
        <is>
          <t>ref</t>
        </is>
      </c>
      <c r="O1675" t="n">
        <v>60</v>
      </c>
      <c r="P1675" t="n">
        <v>0.007732</v>
      </c>
      <c r="Q1675" t="n">
        <v>100</v>
      </c>
      <c r="R1675" t="n">
        <v>0.05374</v>
      </c>
      <c r="S1675">
        <f>IMAGE("https://mitra.stanford.edu/kundaje/oak/projects/neuro-variants/variant_position/credible/roussos_2024/variant_figures/roussos_2024.adolescence.Astrocyte/rs62054399_count_position.png",4,220,900)</f>
        <v/>
      </c>
      <c r="T1675">
        <f>IMAGE("https://mitra.stanford.edu/kundaje/oak/projects/neuro-variants/variant_position/credible/roussos_2024/variant_figures/roussos_2024.adolescence.Astrocyte/rs62054399_profile_position.png",4,220,900)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0.107576111</v>
      </c>
      <c r="G1676" t="n">
        <v>0.0718120672584807</v>
      </c>
      <c r="H1676" t="n">
        <v>0.0131605124587943</v>
      </c>
      <c r="I1676" t="n">
        <v>0.4385089653220567</v>
      </c>
      <c r="J1676" t="n">
        <v>0.0210626650446547</v>
      </c>
      <c r="K1676" t="n">
        <v>0.5832605829179703</v>
      </c>
      <c r="L1676" t="b">
        <v>0</v>
      </c>
      <c r="M1676" t="b">
        <v>0</v>
      </c>
      <c r="N1676" t="inlineStr">
        <is>
          <t>alt</t>
        </is>
      </c>
      <c r="O1676" t="n">
        <v>-100</v>
      </c>
      <c r="P1676" t="n">
        <v>0.005524</v>
      </c>
      <c r="Q1676" t="n">
        <v>70</v>
      </c>
      <c r="R1676" t="n">
        <v>0.1528</v>
      </c>
      <c r="S1676">
        <f>IMAGE("https://mitra.stanford.edu/kundaje/oak/projects/neuro-variants/variant_position/credible/roussos_2024/variant_figures/roussos_2024.adolescence.Astrocyte/rs56298110_count_position.png",4,220,900)</f>
        <v/>
      </c>
      <c r="T1676">
        <f>IMAGE("https://mitra.stanford.edu/kundaje/oak/projects/neuro-variants/variant_position/credible/roussos_2024/variant_figures/roussos_2024.adolescence.Astrocyte/rs56298110_profile_position.png",4,220,900)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-0.1951839813999999</v>
      </c>
      <c r="G1677" t="n">
        <v>0.0327577472123717</v>
      </c>
      <c r="H1677" t="n">
        <v>0.0396089093584242</v>
      </c>
      <c r="I1677" t="n">
        <v>0.0108285546363526</v>
      </c>
      <c r="J1677" t="n">
        <v>0.3457444441147672</v>
      </c>
      <c r="K1677" t="n">
        <v>0.1102865020214977</v>
      </c>
      <c r="L1677" t="b">
        <v>1</v>
      </c>
      <c r="M1677" t="b">
        <v>0</v>
      </c>
      <c r="N1677" t="inlineStr">
        <is>
          <t>ref</t>
        </is>
      </c>
      <c r="O1677" t="n">
        <v>10</v>
      </c>
      <c r="P1677" t="n">
        <v>0.0007649999999999999</v>
      </c>
      <c r="Q1677" t="n">
        <v>45</v>
      </c>
      <c r="R1677" t="n">
        <v>0.12354</v>
      </c>
      <c r="S1677">
        <f>IMAGE("https://mitra.stanford.edu/kundaje/oak/projects/neuro-variants/variant_position/credible/roussos_2024/variant_figures/roussos_2024.adolescence.Astrocyte/rs62054419_count_position.png",4,220,900)</f>
        <v/>
      </c>
      <c r="T1677">
        <f>IMAGE("https://mitra.stanford.edu/kundaje/oak/projects/neuro-variants/variant_position/credible/roussos_2024/variant_figures/roussos_2024.adolescence.Astrocyte/rs62054419_profile_position.png",4,220,900)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0.1688987488</v>
      </c>
      <c r="G1678" t="n">
        <v>0.0276148076311127</v>
      </c>
      <c r="H1678" t="n">
        <v>0.0305815373390473</v>
      </c>
      <c r="I1678" t="n">
        <v>0.0321662720437453</v>
      </c>
      <c r="J1678" t="n">
        <v>0.5020688069311336</v>
      </c>
      <c r="K1678" t="n">
        <v>0.0555698273850991</v>
      </c>
      <c r="L1678" t="b">
        <v>0</v>
      </c>
      <c r="M1678" t="b">
        <v>0</v>
      </c>
      <c r="N1678" t="inlineStr">
        <is>
          <t>alt</t>
        </is>
      </c>
      <c r="O1678" t="n">
        <v>-100</v>
      </c>
      <c r="P1678" t="n">
        <v>0.10547</v>
      </c>
      <c r="Q1678" t="n">
        <v>-100</v>
      </c>
      <c r="R1678" t="n">
        <v>0.5576</v>
      </c>
      <c r="S1678">
        <f>IMAGE("https://mitra.stanford.edu/kundaje/oak/projects/neuro-variants/variant_position/credible/roussos_2024/variant_figures/roussos_2024.adolescence.Astrocyte/rs17563827_count_position.png",4,220,900)</f>
        <v/>
      </c>
      <c r="T1678">
        <f>IMAGE("https://mitra.stanford.edu/kundaje/oak/projects/neuro-variants/variant_position/credible/roussos_2024/variant_figures/roussos_2024.adolescence.Astrocyte/rs17563827_profile_position.png",4,220,900)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-0.0144970809199999</v>
      </c>
      <c r="G1679" t="n">
        <v>0.6214383965114113</v>
      </c>
      <c r="H1679" t="n">
        <v>0.0112585843212371</v>
      </c>
      <c r="I1679" t="n">
        <v>0.6245710640305195</v>
      </c>
      <c r="J1679" t="n">
        <v>0.0235965641040856</v>
      </c>
      <c r="K1679" t="n">
        <v>0.5543510498645671</v>
      </c>
      <c r="L1679" t="b">
        <v>0</v>
      </c>
      <c r="M1679" t="b">
        <v>0</v>
      </c>
      <c r="N1679" t="inlineStr">
        <is>
          <t>ref</t>
        </is>
      </c>
      <c r="O1679" t="n">
        <v>-80</v>
      </c>
      <c r="P1679" t="n">
        <v>0.007545</v>
      </c>
      <c r="Q1679" t="n">
        <v>-55</v>
      </c>
      <c r="R1679" t="n">
        <v>0.1748</v>
      </c>
      <c r="S1679">
        <f>IMAGE("https://mitra.stanford.edu/kundaje/oak/projects/neuro-variants/variant_position/credible/roussos_2024/variant_figures/roussos_2024.adolescence.Astrocyte/rs62054424_count_position.png",4,220,900)</f>
        <v/>
      </c>
      <c r="T1679">
        <f>IMAGE("https://mitra.stanford.edu/kundaje/oak/projects/neuro-variants/variant_position/credible/roussos_2024/variant_figures/roussos_2024.adolescence.Astrocyte/rs62054424_profile_position.png",4,220,900)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0.01201060306</v>
      </c>
      <c r="G1680" t="n">
        <v>0.3808986216495909</v>
      </c>
      <c r="H1680" t="n">
        <v>0.0113326376176353</v>
      </c>
      <c r="I1680" t="n">
        <v>0.5991080830972672</v>
      </c>
      <c r="J1680" t="n">
        <v>0.0061589472747232</v>
      </c>
      <c r="K1680" t="n">
        <v>0.724089395793693</v>
      </c>
      <c r="L1680" t="b">
        <v>0</v>
      </c>
      <c r="M1680" t="b">
        <v>0</v>
      </c>
      <c r="N1680" t="inlineStr">
        <is>
          <t>alt</t>
        </is>
      </c>
      <c r="O1680" t="n">
        <v>85</v>
      </c>
      <c r="P1680" t="n">
        <v>0.01158</v>
      </c>
      <c r="Q1680" t="n">
        <v>100</v>
      </c>
      <c r="R1680" t="n">
        <v>0.2104</v>
      </c>
      <c r="S1680">
        <f>IMAGE("https://mitra.stanford.edu/kundaje/oak/projects/neuro-variants/variant_position/credible/roussos_2024/variant_figures/roussos_2024.adolescence.Astrocyte/rs62054426_count_position.png",4,220,900)</f>
        <v/>
      </c>
      <c r="T1680">
        <f>IMAGE("https://mitra.stanford.edu/kundaje/oak/projects/neuro-variants/variant_position/credible/roussos_2024/variant_figures/roussos_2024.adolescence.Astrocyte/rs62054426_profile_position.png",4,220,900)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0.01955013046</v>
      </c>
      <c r="G1681" t="n">
        <v>0.5615568008473286</v>
      </c>
      <c r="H1681" t="n">
        <v>0.0269650467512761</v>
      </c>
      <c r="I1681" t="n">
        <v>0.0487138787250283</v>
      </c>
      <c r="J1681" t="n">
        <v>0.188491380589265</v>
      </c>
      <c r="K1681" t="n">
        <v>0.2154256716241963</v>
      </c>
      <c r="L1681" t="b">
        <v>0</v>
      </c>
      <c r="M1681" t="b">
        <v>0</v>
      </c>
      <c r="N1681" t="inlineStr">
        <is>
          <t>alt</t>
        </is>
      </c>
      <c r="O1681" t="n">
        <v>35</v>
      </c>
      <c r="P1681" t="n">
        <v>0.0367</v>
      </c>
      <c r="Q1681" t="n">
        <v>-80</v>
      </c>
      <c r="R1681" t="n">
        <v>0.1754</v>
      </c>
      <c r="S1681">
        <f>IMAGE("https://mitra.stanford.edu/kundaje/oak/projects/neuro-variants/variant_position/credible/roussos_2024/variant_figures/roussos_2024.adolescence.Astrocyte/rs74464991_count_position.png",4,220,900)</f>
        <v/>
      </c>
      <c r="T1681">
        <f>IMAGE("https://mitra.stanford.edu/kundaje/oak/projects/neuro-variants/variant_position/credible/roussos_2024/variant_figures/roussos_2024.adolescence.Astrocyte/rs74464991_profile_position.png",4,220,900)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0.0203404702</v>
      </c>
      <c r="G1682" t="n">
        <v>0.4126915076147721</v>
      </c>
      <c r="H1682" t="n">
        <v>0.0161779671016828</v>
      </c>
      <c r="I1682" t="n">
        <v>0.262371371258874</v>
      </c>
      <c r="J1682" t="n">
        <v>0.1160148948164851</v>
      </c>
      <c r="K1682" t="n">
        <v>0.2958430167461946</v>
      </c>
      <c r="L1682" t="b">
        <v>0</v>
      </c>
      <c r="M1682" t="b">
        <v>0</v>
      </c>
      <c r="N1682" t="inlineStr">
        <is>
          <t>alt</t>
        </is>
      </c>
      <c r="O1682" t="n">
        <v>-55</v>
      </c>
      <c r="P1682" t="n">
        <v>0.0058</v>
      </c>
      <c r="Q1682" t="n">
        <v>100</v>
      </c>
      <c r="R1682" t="n">
        <v>0.2472</v>
      </c>
      <c r="S1682">
        <f>IMAGE("https://mitra.stanford.edu/kundaje/oak/projects/neuro-variants/variant_position/credible/roussos_2024/variant_figures/roussos_2024.adolescence.Astrocyte/rs2004260_count_position.png",4,220,900)</f>
        <v/>
      </c>
      <c r="T1682">
        <f>IMAGE("https://mitra.stanford.edu/kundaje/oak/projects/neuro-variants/variant_position/credible/roussos_2024/variant_figures/roussos_2024.adolescence.Astrocyte/rs2004260_profile_position.png",4,220,900)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-0.2255061099999999</v>
      </c>
      <c r="G1683" t="n">
        <v>0.0136926517284901</v>
      </c>
      <c r="H1683" t="n">
        <v>0.0266134127221519</v>
      </c>
      <c r="I1683" t="n">
        <v>0.0502175941372031</v>
      </c>
      <c r="J1683" t="n">
        <v>0.4611169628816425</v>
      </c>
      <c r="K1683" t="n">
        <v>0.06633714632455059</v>
      </c>
      <c r="L1683" t="b">
        <v>1</v>
      </c>
      <c r="M1683" t="b">
        <v>0</v>
      </c>
      <c r="N1683" t="inlineStr">
        <is>
          <t>ref</t>
        </is>
      </c>
      <c r="O1683" t="n">
        <v>-45</v>
      </c>
      <c r="P1683" t="n">
        <v>0.01312</v>
      </c>
      <c r="Q1683" t="n">
        <v>-40</v>
      </c>
      <c r="R1683" t="n">
        <v>0.1943</v>
      </c>
      <c r="S1683">
        <f>IMAGE("https://mitra.stanford.edu/kundaje/oak/projects/neuro-variants/variant_position/credible/roussos_2024/variant_figures/roussos_2024.adolescence.Astrocyte/rs75715199_count_position.png",4,220,900)</f>
        <v/>
      </c>
      <c r="T1683">
        <f>IMAGE("https://mitra.stanford.edu/kundaje/oak/projects/neuro-variants/variant_position/credible/roussos_2024/variant_figures/roussos_2024.adolescence.Astrocyte/rs75715199_profile_position.png",4,220,900)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0.00288424636</v>
      </c>
      <c r="G1684" t="n">
        <v>0.5620917043313719</v>
      </c>
      <c r="H1684" t="n">
        <v>0.0215634488137495</v>
      </c>
      <c r="I1684" t="n">
        <v>0.1067054052627693</v>
      </c>
      <c r="J1684" t="n">
        <v>0.4385292110494615</v>
      </c>
      <c r="K1684" t="n">
        <v>0.0746388305415593</v>
      </c>
      <c r="L1684" t="b">
        <v>0</v>
      </c>
      <c r="M1684" t="b">
        <v>0</v>
      </c>
      <c r="N1684" t="inlineStr">
        <is>
          <t>alt</t>
        </is>
      </c>
      <c r="O1684" t="n">
        <v>-100</v>
      </c>
      <c r="P1684" t="n">
        <v>0.009575</v>
      </c>
      <c r="Q1684" t="n">
        <v>95</v>
      </c>
      <c r="R1684" t="n">
        <v>0.0885</v>
      </c>
      <c r="S1684">
        <f>IMAGE("https://mitra.stanford.edu/kundaje/oak/projects/neuro-variants/variant_position/credible/roussos_2024/variant_figures/roussos_2024.adolescence.Astrocyte/rs62054439_count_position.png",4,220,900)</f>
        <v/>
      </c>
      <c r="T1684">
        <f>IMAGE("https://mitra.stanford.edu/kundaje/oak/projects/neuro-variants/variant_position/credible/roussos_2024/variant_figures/roussos_2024.adolescence.Astrocyte/rs62054439_profile_position.png",4,220,900)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0.0965768971999999</v>
      </c>
      <c r="G1685" t="n">
        <v>0.08317940392489651</v>
      </c>
      <c r="H1685" t="n">
        <v>0.0146348778837876</v>
      </c>
      <c r="I1685" t="n">
        <v>0.3493689482619628</v>
      </c>
      <c r="J1685" t="n">
        <v>0.2229267424264902</v>
      </c>
      <c r="K1685" t="n">
        <v>0.1863535760392713</v>
      </c>
      <c r="L1685" t="b">
        <v>0</v>
      </c>
      <c r="M1685" t="b">
        <v>0</v>
      </c>
      <c r="N1685" t="inlineStr">
        <is>
          <t>alt</t>
        </is>
      </c>
      <c r="O1685" t="n">
        <v>-60</v>
      </c>
      <c r="P1685" t="n">
        <v>0.0009779999999999999</v>
      </c>
      <c r="Q1685" t="n">
        <v>-15</v>
      </c>
      <c r="R1685" t="n">
        <v>0.005615</v>
      </c>
      <c r="S1685">
        <f>IMAGE("https://mitra.stanford.edu/kundaje/oak/projects/neuro-variants/variant_position/credible/roussos_2024/variant_figures/roussos_2024.adolescence.Astrocyte/rs12150363_count_position.png",4,220,900)</f>
        <v/>
      </c>
      <c r="T1685">
        <f>IMAGE("https://mitra.stanford.edu/kundaje/oak/projects/neuro-variants/variant_position/credible/roussos_2024/variant_figures/roussos_2024.adolescence.Astrocyte/rs12150363_profile_position.png",4,220,900)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0.07069075499999999</v>
      </c>
      <c r="G1686" t="n">
        <v>0.1603847281375128</v>
      </c>
      <c r="H1686" t="n">
        <v>0.0184275558958652</v>
      </c>
      <c r="I1686" t="n">
        <v>0.1851896994896976</v>
      </c>
      <c r="J1686" t="n">
        <v>0.1547451265465982</v>
      </c>
      <c r="K1686" t="n">
        <v>0.2496925048790558</v>
      </c>
      <c r="L1686" t="b">
        <v>0</v>
      </c>
      <c r="M1686" t="b">
        <v>0</v>
      </c>
      <c r="N1686" t="inlineStr">
        <is>
          <t>alt</t>
        </is>
      </c>
      <c r="O1686" t="n">
        <v>-90</v>
      </c>
      <c r="P1686" t="n">
        <v>0.01525</v>
      </c>
      <c r="Q1686" t="n">
        <v>-95</v>
      </c>
      <c r="R1686" t="n">
        <v>0.1268</v>
      </c>
      <c r="S1686">
        <f>IMAGE("https://mitra.stanford.edu/kundaje/oak/projects/neuro-variants/variant_position/credible/roussos_2024/variant_figures/roussos_2024.adolescence.Astrocyte/rs62054440_count_position.png",4,220,900)</f>
        <v/>
      </c>
      <c r="T1686">
        <f>IMAGE("https://mitra.stanford.edu/kundaje/oak/projects/neuro-variants/variant_position/credible/roussos_2024/variant_figures/roussos_2024.adolescence.Astrocyte/rs62054440_profile_position.png",4,220,900)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0.1180087869999999</v>
      </c>
      <c r="G1687" t="n">
        <v>0.0563684374071916</v>
      </c>
      <c r="H1687" t="n">
        <v>0.017565346961493</v>
      </c>
      <c r="I1687" t="n">
        <v>0.2073901789743643</v>
      </c>
      <c r="J1687" t="n">
        <v>0.253207429605673</v>
      </c>
      <c r="K1687" t="n">
        <v>0.1634253094896611</v>
      </c>
      <c r="L1687" t="b">
        <v>0</v>
      </c>
      <c r="M1687" t="b">
        <v>0</v>
      </c>
      <c r="N1687" t="inlineStr">
        <is>
          <t>alt</t>
        </is>
      </c>
      <c r="O1687" t="n">
        <v>100</v>
      </c>
      <c r="P1687" t="n">
        <v>0.003193</v>
      </c>
      <c r="Q1687" t="n">
        <v>-95</v>
      </c>
      <c r="R1687" t="n">
        <v>0.1743</v>
      </c>
      <c r="S1687">
        <f>IMAGE("https://mitra.stanford.edu/kundaje/oak/projects/neuro-variants/variant_position/credible/roussos_2024/variant_figures/roussos_2024.adolescence.Astrocyte/rs12150604_count_position.png",4,220,900)</f>
        <v/>
      </c>
      <c r="T1687">
        <f>IMAGE("https://mitra.stanford.edu/kundaje/oak/projects/neuro-variants/variant_position/credible/roussos_2024/variant_figures/roussos_2024.adolescence.Astrocyte/rs12150604_profile_position.png",4,220,900)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-0.0584859192</v>
      </c>
      <c r="G1688" t="n">
        <v>0.2033559287105506</v>
      </c>
      <c r="H1688" t="n">
        <v>0.0136889796876373</v>
      </c>
      <c r="I1688" t="n">
        <v>0.4083527398865954</v>
      </c>
      <c r="J1688" t="n">
        <v>0.4664161944040589</v>
      </c>
      <c r="K1688" t="n">
        <v>0.0655361356283316</v>
      </c>
      <c r="L1688" t="b">
        <v>0</v>
      </c>
      <c r="M1688" t="b">
        <v>0</v>
      </c>
      <c r="N1688" t="inlineStr">
        <is>
          <t>ref</t>
        </is>
      </c>
      <c r="O1688" t="n">
        <v>100</v>
      </c>
      <c r="P1688" t="n">
        <v>0.01619</v>
      </c>
      <c r="Q1688" t="n">
        <v>10</v>
      </c>
      <c r="R1688" t="n">
        <v>0.001709</v>
      </c>
      <c r="S1688">
        <f>IMAGE("https://mitra.stanford.edu/kundaje/oak/projects/neuro-variants/variant_position/credible/roussos_2024/variant_figures/roussos_2024.adolescence.Astrocyte/rs17426064_count_position.png",4,220,900)</f>
        <v/>
      </c>
      <c r="T1688">
        <f>IMAGE("https://mitra.stanford.edu/kundaje/oak/projects/neuro-variants/variant_position/credible/roussos_2024/variant_figures/roussos_2024.adolescence.Astrocyte/rs17426064_profile_position.png",4,220,900)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0.0313999422</v>
      </c>
      <c r="G1689" t="n">
        <v>0.3805789711071338</v>
      </c>
      <c r="H1689" t="n">
        <v>0.0190208496699565</v>
      </c>
      <c r="I1689" t="n">
        <v>0.1650175316472024</v>
      </c>
      <c r="J1689" t="n">
        <v>0.3947793964928938</v>
      </c>
      <c r="K1689" t="n">
        <v>0.0899927255876337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0.0259</v>
      </c>
      <c r="Q1689" t="n">
        <v>-100</v>
      </c>
      <c r="R1689" t="n">
        <v>0.1436</v>
      </c>
      <c r="S1689">
        <f>IMAGE("https://mitra.stanford.edu/kundaje/oak/projects/neuro-variants/variant_position/credible/roussos_2024/variant_figures/roussos_2024.adolescence.Astrocyte/rs62054442_count_position.png",4,220,900)</f>
        <v/>
      </c>
      <c r="T1689">
        <f>IMAGE("https://mitra.stanford.edu/kundaje/oak/projects/neuro-variants/variant_position/credible/roussos_2024/variant_figures/roussos_2024.adolescence.Astrocyte/rs62054442_profile_position.png",4,220,900)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0.0321901522</v>
      </c>
      <c r="G1690" t="n">
        <v>0.3761377500521708</v>
      </c>
      <c r="H1690" t="n">
        <v>0.0110973745301988</v>
      </c>
      <c r="I1690" t="n">
        <v>0.6481800375095779</v>
      </c>
      <c r="J1690" t="n">
        <v>0.0696733228495979</v>
      </c>
      <c r="K1690" t="n">
        <v>0.3990660011766255</v>
      </c>
      <c r="L1690" t="b">
        <v>0</v>
      </c>
      <c r="M1690" t="b">
        <v>0</v>
      </c>
      <c r="N1690" t="inlineStr">
        <is>
          <t>alt</t>
        </is>
      </c>
      <c r="O1690" t="n">
        <v>-75</v>
      </c>
      <c r="P1690" t="n">
        <v>0.01976</v>
      </c>
      <c r="Q1690" t="n">
        <v>-20</v>
      </c>
      <c r="R1690" t="n">
        <v>0.04196</v>
      </c>
      <c r="S1690">
        <f>IMAGE("https://mitra.stanford.edu/kundaje/oak/projects/neuro-variants/variant_position/credible/roussos_2024/variant_figures/roussos_2024.adolescence.Astrocyte/rs35631660_count_position.png",4,220,900)</f>
        <v/>
      </c>
      <c r="T1690">
        <f>IMAGE("https://mitra.stanford.edu/kundaje/oak/projects/neuro-variants/variant_position/credible/roussos_2024/variant_figures/roussos_2024.adolescence.Astrocyte/rs35631660_profile_position.png",4,220,900)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0.0506741734</v>
      </c>
      <c r="G1691" t="n">
        <v>0.225805363123369</v>
      </c>
      <c r="H1691" t="n">
        <v>0.0141558870613684</v>
      </c>
      <c r="I1691" t="n">
        <v>0.3841942870420839</v>
      </c>
      <c r="J1691" t="n">
        <v>0.0992226211316499</v>
      </c>
      <c r="K1691" t="n">
        <v>0.3402923671036996</v>
      </c>
      <c r="L1691" t="b">
        <v>0</v>
      </c>
      <c r="M1691" t="b">
        <v>0</v>
      </c>
      <c r="N1691" t="inlineStr">
        <is>
          <t>alt</t>
        </is>
      </c>
      <c r="O1691" t="n">
        <v>-75</v>
      </c>
      <c r="P1691" t="n">
        <v>0.006577</v>
      </c>
      <c r="Q1691" t="n">
        <v>-100</v>
      </c>
      <c r="R1691" t="n">
        <v>0.3398</v>
      </c>
      <c r="S1691">
        <f>IMAGE("https://mitra.stanford.edu/kundaje/oak/projects/neuro-variants/variant_position/credible/roussos_2024/variant_figures/roussos_2024.adolescence.Astrocyte/rs62055876_count_position.png",4,220,900)</f>
        <v/>
      </c>
      <c r="T1691">
        <f>IMAGE("https://mitra.stanford.edu/kundaje/oak/projects/neuro-variants/variant_position/credible/roussos_2024/variant_figures/roussos_2024.adolescence.Astrocyte/rs62055876_profile_position.png",4,220,900)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0.0481576691999999</v>
      </c>
      <c r="G1692" t="n">
        <v>0.2373457628541322</v>
      </c>
      <c r="H1692" t="n">
        <v>0.0148655060866722</v>
      </c>
      <c r="I1692" t="n">
        <v>0.337273324071796</v>
      </c>
      <c r="J1692" t="n">
        <v>0.3926111918820282</v>
      </c>
      <c r="K1692" t="n">
        <v>0.09105472005147849</v>
      </c>
      <c r="L1692" t="b">
        <v>0</v>
      </c>
      <c r="M1692" t="b">
        <v>0</v>
      </c>
      <c r="N1692" t="inlineStr">
        <is>
          <t>alt</t>
        </is>
      </c>
      <c r="O1692" t="n">
        <v>-100</v>
      </c>
      <c r="P1692" t="n">
        <v>0.02127</v>
      </c>
      <c r="Q1692" t="n">
        <v>-100</v>
      </c>
      <c r="R1692" t="n">
        <v>0.4272</v>
      </c>
      <c r="S1692">
        <f>IMAGE("https://mitra.stanford.edu/kundaje/oak/projects/neuro-variants/variant_position/credible/roussos_2024/variant_figures/roussos_2024.adolescence.Astrocyte/rs34579278_count_position.png",4,220,900)</f>
        <v/>
      </c>
      <c r="T1692">
        <f>IMAGE("https://mitra.stanford.edu/kundaje/oak/projects/neuro-variants/variant_position/credible/roussos_2024/variant_figures/roussos_2024.adolescence.Astrocyte/rs34579278_profile_position.png",4,220,900)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0.0412897664</v>
      </c>
      <c r="G1693" t="n">
        <v>0.3256925845879023</v>
      </c>
      <c r="H1693" t="n">
        <v>0.0106454709363322</v>
      </c>
      <c r="I1693" t="n">
        <v>0.6996769977212828</v>
      </c>
      <c r="J1693" t="n">
        <v>0.3622681957095807</v>
      </c>
      <c r="K1693" t="n">
        <v>0.1031457538974357</v>
      </c>
      <c r="L1693" t="b">
        <v>0</v>
      </c>
      <c r="M1693" t="b">
        <v>0</v>
      </c>
      <c r="N1693" t="inlineStr">
        <is>
          <t>alt</t>
        </is>
      </c>
      <c r="O1693" t="n">
        <v>-100</v>
      </c>
      <c r="P1693" t="n">
        <v>0.03915</v>
      </c>
      <c r="Q1693" t="n">
        <v>-100</v>
      </c>
      <c r="R1693" t="n">
        <v>0.1782</v>
      </c>
      <c r="S1693">
        <f>IMAGE("https://mitra.stanford.edu/kundaje/oak/projects/neuro-variants/variant_position/credible/roussos_2024/variant_figures/roussos_2024.adolescence.Astrocyte/rs34211253_count_position.png",4,220,900)</f>
        <v/>
      </c>
      <c r="T1693">
        <f>IMAGE("https://mitra.stanford.edu/kundaje/oak/projects/neuro-variants/variant_position/credible/roussos_2024/variant_figures/roussos_2024.adolescence.Astrocyte/rs34211253_profile_position.png",4,220,900)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0.0380873226</v>
      </c>
      <c r="G1694" t="n">
        <v>0.3342190217795605</v>
      </c>
      <c r="H1694" t="n">
        <v>0.0111096181304913</v>
      </c>
      <c r="I1694" t="n">
        <v>0.6416534852462776</v>
      </c>
      <c r="J1694" t="n">
        <v>0.3804386849835326</v>
      </c>
      <c r="K1694" t="n">
        <v>0.09581505972827049</v>
      </c>
      <c r="L1694" t="b">
        <v>0</v>
      </c>
      <c r="M1694" t="b">
        <v>0</v>
      </c>
      <c r="N1694" t="inlineStr">
        <is>
          <t>alt</t>
        </is>
      </c>
      <c r="O1694" t="n">
        <v>-100</v>
      </c>
      <c r="P1694" t="n">
        <v>0.003029</v>
      </c>
      <c r="Q1694" t="n">
        <v>80</v>
      </c>
      <c r="R1694" t="n">
        <v>0.1219</v>
      </c>
      <c r="S1694">
        <f>IMAGE("https://mitra.stanford.edu/kundaje/oak/projects/neuro-variants/variant_position/credible/roussos_2024/variant_figures/roussos_2024.adolescence.Astrocyte/rs11079717_count_position.png",4,220,900)</f>
        <v/>
      </c>
      <c r="T1694">
        <f>IMAGE("https://mitra.stanford.edu/kundaje/oak/projects/neuro-variants/variant_position/credible/roussos_2024/variant_figures/roussos_2024.adolescence.Astrocyte/rs11079717_profile_position.png",4,220,900)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0.0072293836</v>
      </c>
      <c r="G1695" t="n">
        <v>0.7426253455782168</v>
      </c>
      <c r="H1695" t="n">
        <v>0.0214977548218591</v>
      </c>
      <c r="I1695" t="n">
        <v>0.1069062493020419</v>
      </c>
      <c r="J1695" t="n">
        <v>0.0237182149956976</v>
      </c>
      <c r="K1695" t="n">
        <v>0.5750378774809463</v>
      </c>
      <c r="L1695" t="b">
        <v>0</v>
      </c>
      <c r="M1695" t="b">
        <v>0</v>
      </c>
      <c r="N1695" t="inlineStr">
        <is>
          <t>alt</t>
        </is>
      </c>
      <c r="O1695" t="n">
        <v>-95</v>
      </c>
      <c r="P1695" t="n">
        <v>0.00792</v>
      </c>
      <c r="Q1695" t="n">
        <v>30</v>
      </c>
      <c r="R1695" t="n">
        <v>0.07983</v>
      </c>
      <c r="S1695">
        <f>IMAGE("https://mitra.stanford.edu/kundaje/oak/projects/neuro-variants/variant_position/credible/roussos_2024/variant_figures/roussos_2024.adolescence.Astrocyte/rs56168907_count_position.png",4,220,900)</f>
        <v/>
      </c>
      <c r="T1695">
        <f>IMAGE("https://mitra.stanford.edu/kundaje/oak/projects/neuro-variants/variant_position/credible/roussos_2024/variant_figures/roussos_2024.adolescence.Astrocyte/rs56168907_profile_position.png",4,220,900)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-0.0562877342</v>
      </c>
      <c r="G1696" t="n">
        <v>0.2059379788195987</v>
      </c>
      <c r="H1696" t="n">
        <v>0.0151801406519065</v>
      </c>
      <c r="I1696" t="n">
        <v>0.3187324356913648</v>
      </c>
      <c r="J1696" t="n">
        <v>0.0184642316707711</v>
      </c>
      <c r="K1696" t="n">
        <v>0.6123228014870982</v>
      </c>
      <c r="L1696" t="b">
        <v>0</v>
      </c>
      <c r="M1696" t="b">
        <v>0</v>
      </c>
      <c r="N1696" t="inlineStr">
        <is>
          <t>ref</t>
        </is>
      </c>
      <c r="O1696" t="n">
        <v>-45</v>
      </c>
      <c r="P1696" t="n">
        <v>0.004913</v>
      </c>
      <c r="Q1696" t="n">
        <v>-100</v>
      </c>
      <c r="R1696" t="n">
        <v>0.1378</v>
      </c>
      <c r="S1696">
        <f>IMAGE("https://mitra.stanford.edu/kundaje/oak/projects/neuro-variants/variant_position/credible/roussos_2024/variant_figures/roussos_2024.adolescence.Astrocyte/rs55801356_count_position.png",4,220,900)</f>
        <v/>
      </c>
      <c r="T1696">
        <f>IMAGE("https://mitra.stanford.edu/kundaje/oak/projects/neuro-variants/variant_position/credible/roussos_2024/variant_figures/roussos_2024.adolescence.Astrocyte/rs55801356_profile_position.png",4,220,900)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-0.4377267939999999</v>
      </c>
      <c r="G1697" t="n">
        <v>0.0018783592939738</v>
      </c>
      <c r="H1697" t="n">
        <v>0.0464611268658867</v>
      </c>
      <c r="I1697" t="n">
        <v>0.0051845524580506</v>
      </c>
      <c r="J1697" t="n">
        <v>0.4179012254102008</v>
      </c>
      <c r="K1697" t="n">
        <v>0.0811016196547555</v>
      </c>
      <c r="L1697" t="b">
        <v>1</v>
      </c>
      <c r="M1697" t="b">
        <v>1</v>
      </c>
      <c r="N1697" t="inlineStr">
        <is>
          <t>ref</t>
        </is>
      </c>
      <c r="O1697" t="n">
        <v>-100</v>
      </c>
      <c r="P1697" t="n">
        <v>0.00872</v>
      </c>
      <c r="Q1697" t="n">
        <v>0</v>
      </c>
      <c r="R1697" t="n">
        <v>0</v>
      </c>
      <c r="S1697">
        <f>IMAGE("https://mitra.stanford.edu/kundaje/oak/projects/neuro-variants/variant_position/credible/roussos_2024/variant_figures/roussos_2024.adolescence.Astrocyte/rs62055890_count_position.png",4,220,900)</f>
        <v/>
      </c>
      <c r="T1697">
        <f>IMAGE("https://mitra.stanford.edu/kundaje/oak/projects/neuro-variants/variant_position/credible/roussos_2024/variant_figures/roussos_2024.adolescence.Astrocyte/rs62055890_profile_position.png",4,220,900)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0.00614609215</v>
      </c>
      <c r="G1698" t="n">
        <v>0.7908220743102362</v>
      </c>
      <c r="H1698" t="n">
        <v>0.009062802618516899</v>
      </c>
      <c r="I1698" t="n">
        <v>0.8385336983292334</v>
      </c>
      <c r="J1698" t="n">
        <v>0.0739637421001097</v>
      </c>
      <c r="K1698" t="n">
        <v>0.3781390998659376</v>
      </c>
      <c r="L1698" t="b">
        <v>0</v>
      </c>
      <c r="M1698" t="b">
        <v>0</v>
      </c>
      <c r="N1698" t="inlineStr">
        <is>
          <t>alt</t>
        </is>
      </c>
      <c r="O1698" t="n">
        <v>-90</v>
      </c>
      <c r="P1698" t="n">
        <v>0.08844</v>
      </c>
      <c r="Q1698" t="n">
        <v>-100</v>
      </c>
      <c r="R1698" t="n">
        <v>0.2695</v>
      </c>
      <c r="S1698">
        <f>IMAGE("https://mitra.stanford.edu/kundaje/oak/projects/neuro-variants/variant_position/credible/roussos_2024/variant_figures/roussos_2024.adolescence.Astrocyte/rs56369036_count_position.png",4,220,900)</f>
        <v/>
      </c>
      <c r="T1698">
        <f>IMAGE("https://mitra.stanford.edu/kundaje/oak/projects/neuro-variants/variant_position/credible/roussos_2024/variant_figures/roussos_2024.adolescence.Astrocyte/rs56369036_profile_position.png",4,220,900)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0.01082993446</v>
      </c>
      <c r="G1699" t="n">
        <v>0.5109893516234328</v>
      </c>
      <c r="H1699" t="n">
        <v>0.0156878133626138</v>
      </c>
      <c r="I1699" t="n">
        <v>0.290496484687731</v>
      </c>
      <c r="J1699" t="n">
        <v>0.4039202741595703</v>
      </c>
      <c r="K1699" t="n">
        <v>0.0865702730617893</v>
      </c>
      <c r="L1699" t="b">
        <v>0</v>
      </c>
      <c r="M1699" t="b">
        <v>0</v>
      </c>
      <c r="N1699" t="inlineStr">
        <is>
          <t>alt</t>
        </is>
      </c>
      <c r="O1699" t="n">
        <v>-100</v>
      </c>
      <c r="P1699" t="n">
        <v>0.04355</v>
      </c>
      <c r="Q1699" t="n">
        <v>-100</v>
      </c>
      <c r="R1699" t="n">
        <v>0.1763</v>
      </c>
      <c r="S1699">
        <f>IMAGE("https://mitra.stanford.edu/kundaje/oak/projects/neuro-variants/variant_position/credible/roussos_2024/variant_figures/roussos_2024.adolescence.Astrocyte/rs55707339_count_position.png",4,220,900)</f>
        <v/>
      </c>
      <c r="T1699">
        <f>IMAGE("https://mitra.stanford.edu/kundaje/oak/projects/neuro-variants/variant_position/credible/roussos_2024/variant_figures/roussos_2024.adolescence.Astrocyte/rs55707339_profile_position.png",4,220,900)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-0.01718838686</v>
      </c>
      <c r="G1700" t="n">
        <v>0.6018028137119207</v>
      </c>
      <c r="H1700" t="n">
        <v>0.009701083351599599</v>
      </c>
      <c r="I1700" t="n">
        <v>0.7909942373441725</v>
      </c>
      <c r="J1700" t="n">
        <v>0.0133289321425391</v>
      </c>
      <c r="K1700" t="n">
        <v>0.6282461677497715</v>
      </c>
      <c r="L1700" t="b">
        <v>0</v>
      </c>
      <c r="M1700" t="b">
        <v>0</v>
      </c>
      <c r="N1700" t="inlineStr">
        <is>
          <t>ref</t>
        </is>
      </c>
      <c r="O1700" t="n">
        <v>-75</v>
      </c>
      <c r="P1700" t="n">
        <v>0.00681</v>
      </c>
      <c r="Q1700" t="n">
        <v>60</v>
      </c>
      <c r="R1700" t="n">
        <v>0.03186</v>
      </c>
      <c r="S1700">
        <f>IMAGE("https://mitra.stanford.edu/kundaje/oak/projects/neuro-variants/variant_position/credible/roussos_2024/variant_figures/roussos_2024.adolescence.Astrocyte/rs62055894_count_position.png",4,220,900)</f>
        <v/>
      </c>
      <c r="T1700">
        <f>IMAGE("https://mitra.stanford.edu/kundaje/oak/projects/neuro-variants/variant_position/credible/roussos_2024/variant_figures/roussos_2024.adolescence.Astrocyte/rs62055894_profile_position.png",4,220,900)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0.02392762394</v>
      </c>
      <c r="G1701" t="n">
        <v>0.4562594961765044</v>
      </c>
      <c r="H1701" t="n">
        <v>0.0127413542234723</v>
      </c>
      <c r="I1701" t="n">
        <v>0.4876093341956317</v>
      </c>
      <c r="J1701" t="n">
        <v>0.0145409904162833</v>
      </c>
      <c r="K1701" t="n">
        <v>0.618089844730267</v>
      </c>
      <c r="L1701" t="b">
        <v>0</v>
      </c>
      <c r="M1701" t="b">
        <v>0</v>
      </c>
      <c r="N1701" t="inlineStr">
        <is>
          <t>alt</t>
        </is>
      </c>
      <c r="O1701" t="n">
        <v>-95</v>
      </c>
      <c r="P1701" t="n">
        <v>0.00293</v>
      </c>
      <c r="Q1701" t="n">
        <v>45</v>
      </c>
      <c r="R1701" t="n">
        <v>0.05627</v>
      </c>
      <c r="S1701">
        <f>IMAGE("https://mitra.stanford.edu/kundaje/oak/projects/neuro-variants/variant_position/credible/roussos_2024/variant_figures/roussos_2024.adolescence.Astrocyte/rs62055895_count_position.png",4,220,900)</f>
        <v/>
      </c>
      <c r="T1701">
        <f>IMAGE("https://mitra.stanford.edu/kundaje/oak/projects/neuro-variants/variant_position/credible/roussos_2024/variant_figures/roussos_2024.adolescence.Astrocyte/rs62055895_profile_position.png",4,220,900)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-0.0175263574</v>
      </c>
      <c r="G1702" t="n">
        <v>0.4889687718972242</v>
      </c>
      <c r="H1702" t="n">
        <v>0.0155637259664011</v>
      </c>
      <c r="I1702" t="n">
        <v>0.2945565538846637</v>
      </c>
      <c r="J1702" t="n">
        <v>0.0444604337892768</v>
      </c>
      <c r="K1702" t="n">
        <v>0.4745414300684432</v>
      </c>
      <c r="L1702" t="b">
        <v>0</v>
      </c>
      <c r="M1702" t="b">
        <v>0</v>
      </c>
      <c r="N1702" t="inlineStr">
        <is>
          <t>ref</t>
        </is>
      </c>
      <c r="O1702" t="n">
        <v>100</v>
      </c>
      <c r="P1702" t="n">
        <v>0.007835</v>
      </c>
      <c r="Q1702" t="n">
        <v>100</v>
      </c>
      <c r="R1702" t="n">
        <v>0.2646</v>
      </c>
      <c r="S1702">
        <f>IMAGE("https://mitra.stanford.edu/kundaje/oak/projects/neuro-variants/variant_position/credible/roussos_2024/variant_figures/roussos_2024.adolescence.Astrocyte/rs55657917_count_position.png",4,220,900)</f>
        <v/>
      </c>
      <c r="T1702">
        <f>IMAGE("https://mitra.stanford.edu/kundaje/oak/projects/neuro-variants/variant_position/credible/roussos_2024/variant_figures/roussos_2024.adolescence.Astrocyte/rs55657917_profile_position.png",4,220,900)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-0.00162477706</v>
      </c>
      <c r="G1703" t="n">
        <v>0.6692738312237505</v>
      </c>
      <c r="H1703" t="n">
        <v>0.012197362570573</v>
      </c>
      <c r="I1703" t="n">
        <v>0.5405561898236424</v>
      </c>
      <c r="J1703" t="n">
        <v>0.1143451621517371</v>
      </c>
      <c r="K1703" t="n">
        <v>0.3079972000003704</v>
      </c>
      <c r="L1703" t="b">
        <v>0</v>
      </c>
      <c r="M1703" t="b">
        <v>0</v>
      </c>
      <c r="N1703" t="inlineStr">
        <is>
          <t>ref</t>
        </is>
      </c>
      <c r="O1703" t="n">
        <v>-100</v>
      </c>
      <c r="P1703" t="n">
        <v>0.00343</v>
      </c>
      <c r="Q1703" t="n">
        <v>-75</v>
      </c>
      <c r="R1703" t="n">
        <v>0.2134</v>
      </c>
      <c r="S1703">
        <f>IMAGE("https://mitra.stanford.edu/kundaje/oak/projects/neuro-variants/variant_position/credible/roussos_2024/variant_figures/roussos_2024.adolescence.Astrocyte/rs56109643_count_position.png",4,220,900)</f>
        <v/>
      </c>
      <c r="T1703">
        <f>IMAGE("https://mitra.stanford.edu/kundaje/oak/projects/neuro-variants/variant_position/credible/roussos_2024/variant_figures/roussos_2024.adolescence.Astrocyte/rs56109643_profile_position.png",4,220,900)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-0.012978292326</v>
      </c>
      <c r="G1704" t="n">
        <v>0.6586192717221084</v>
      </c>
      <c r="H1704" t="n">
        <v>0.0154406850961264</v>
      </c>
      <c r="I1704" t="n">
        <v>0.3066679670796818</v>
      </c>
      <c r="J1704" t="n">
        <v>0.5672128593893718</v>
      </c>
      <c r="K1704" t="n">
        <v>0.0399097757962527</v>
      </c>
      <c r="L1704" t="b">
        <v>0</v>
      </c>
      <c r="M1704" t="b">
        <v>0</v>
      </c>
      <c r="N1704" t="inlineStr">
        <is>
          <t>ref</t>
        </is>
      </c>
      <c r="O1704" t="n">
        <v>-100</v>
      </c>
      <c r="P1704" t="n">
        <v>0.001147</v>
      </c>
      <c r="Q1704" t="n">
        <v>35</v>
      </c>
      <c r="R1704" t="n">
        <v>0.07806</v>
      </c>
      <c r="S1704">
        <f>IMAGE("https://mitra.stanford.edu/kundaje/oak/projects/neuro-variants/variant_position/credible/roussos_2024/variant_figures/roussos_2024.adolescence.Astrocyte/rs62055935_count_position.png",4,220,900)</f>
        <v/>
      </c>
      <c r="T1704">
        <f>IMAGE("https://mitra.stanford.edu/kundaje/oak/projects/neuro-variants/variant_position/credible/roussos_2024/variant_figures/roussos_2024.adolescence.Astrocyte/rs62055935_profile_position.png",4,220,900)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0.0373839661999999</v>
      </c>
      <c r="G1705" t="n">
        <v>0.3115500974106064</v>
      </c>
      <c r="H1705" t="n">
        <v>0.0111713366253254</v>
      </c>
      <c r="I1705" t="n">
        <v>0.6347220849672077</v>
      </c>
      <c r="J1705" t="n">
        <v>0.4552866213690175</v>
      </c>
      <c r="K1705" t="n">
        <v>0.06930660313597389</v>
      </c>
      <c r="L1705" t="b">
        <v>0</v>
      </c>
      <c r="M1705" t="b">
        <v>0</v>
      </c>
      <c r="N1705" t="inlineStr">
        <is>
          <t>alt</t>
        </is>
      </c>
      <c r="O1705" t="n">
        <v>70</v>
      </c>
      <c r="P1705" t="n">
        <v>0.003185</v>
      </c>
      <c r="Q1705" t="n">
        <v>-100</v>
      </c>
      <c r="R1705" t="n">
        <v>0.04456</v>
      </c>
      <c r="S1705">
        <f>IMAGE("https://mitra.stanford.edu/kundaje/oak/projects/neuro-variants/variant_position/credible/roussos_2024/variant_figures/roussos_2024.adolescence.Astrocyte/rs62055948_count_position.png",4,220,900)</f>
        <v/>
      </c>
      <c r="T1705">
        <f>IMAGE("https://mitra.stanford.edu/kundaje/oak/projects/neuro-variants/variant_position/credible/roussos_2024/variant_figures/roussos_2024.adolescence.Astrocyte/rs62055948_profile_position.png",4,220,900)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0.0371966869999999</v>
      </c>
      <c r="G1706" t="n">
        <v>0.0627863554088804</v>
      </c>
      <c r="H1706" t="n">
        <v>0.0222155110660146</v>
      </c>
      <c r="I1706" t="n">
        <v>0.09817177705233671</v>
      </c>
      <c r="J1706" t="n">
        <v>0.7389846601192772</v>
      </c>
      <c r="K1706" t="n">
        <v>0.0133266188540712</v>
      </c>
      <c r="L1706" t="b">
        <v>0</v>
      </c>
      <c r="M1706" t="b">
        <v>0</v>
      </c>
      <c r="N1706" t="inlineStr">
        <is>
          <t>alt</t>
        </is>
      </c>
      <c r="O1706" t="n">
        <v>65</v>
      </c>
      <c r="P1706" t="n">
        <v>0.01422</v>
      </c>
      <c r="Q1706" t="n">
        <v>-100</v>
      </c>
      <c r="R1706" t="n">
        <v>0.249</v>
      </c>
      <c r="S1706">
        <f>IMAGE("https://mitra.stanford.edu/kundaje/oak/projects/neuro-variants/variant_position/credible/roussos_2024/variant_figures/roussos_2024.adolescence.Astrocyte/rs55787105_count_position.png",4,220,900)</f>
        <v/>
      </c>
      <c r="T1706">
        <f>IMAGE("https://mitra.stanford.edu/kundaje/oak/projects/neuro-variants/variant_position/credible/roussos_2024/variant_figures/roussos_2024.adolescence.Astrocyte/rs55787105_profile_position.png",4,220,900)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0.183706102</v>
      </c>
      <c r="G1707" t="n">
        <v>0.0231774936580526</v>
      </c>
      <c r="H1707" t="n">
        <v>0.0271521802423842</v>
      </c>
      <c r="I1707" t="n">
        <v>0.0460697546377041</v>
      </c>
      <c r="J1707" t="n">
        <v>0.748536480432009</v>
      </c>
      <c r="K1707" t="n">
        <v>0.0117343280953333</v>
      </c>
      <c r="L1707" t="b">
        <v>0</v>
      </c>
      <c r="M1707" t="b">
        <v>0</v>
      </c>
      <c r="N1707" t="inlineStr">
        <is>
          <t>alt</t>
        </is>
      </c>
      <c r="O1707" t="n">
        <v>45</v>
      </c>
      <c r="P1707" t="n">
        <v>0.003723</v>
      </c>
      <c r="Q1707" t="n">
        <v>45</v>
      </c>
      <c r="R1707" t="n">
        <v>0.09375</v>
      </c>
      <c r="S1707">
        <f>IMAGE("https://mitra.stanford.edu/kundaje/oak/projects/neuro-variants/variant_position/credible/roussos_2024/variant_figures/roussos_2024.adolescence.Astrocyte/rs62055950_count_position.png",4,220,900)</f>
        <v/>
      </c>
      <c r="T1707">
        <f>IMAGE("https://mitra.stanford.edu/kundaje/oak/projects/neuro-variants/variant_position/credible/roussos_2024/variant_figures/roussos_2024.adolescence.Astrocyte/rs62055950_profile_position.png",4,220,900)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0.009087713339999999</v>
      </c>
      <c r="G1708" t="n">
        <v>0.754713862957157</v>
      </c>
      <c r="H1708" t="n">
        <v>0.0291189261140428</v>
      </c>
      <c r="I1708" t="n">
        <v>0.0353516007739433</v>
      </c>
      <c r="J1708" t="n">
        <v>0.0281859181675221</v>
      </c>
      <c r="K1708" t="n">
        <v>0.5326512040685931</v>
      </c>
      <c r="L1708" t="b">
        <v>0</v>
      </c>
      <c r="M1708" t="b">
        <v>0</v>
      </c>
      <c r="N1708" t="inlineStr">
        <is>
          <t>alt</t>
        </is>
      </c>
      <c r="O1708" t="n">
        <v>-95</v>
      </c>
      <c r="P1708" t="n">
        <v>0.0852</v>
      </c>
      <c r="Q1708" t="n">
        <v>-95</v>
      </c>
      <c r="R1708" t="n">
        <v>0.2379</v>
      </c>
      <c r="S1708">
        <f>IMAGE("https://mitra.stanford.edu/kundaje/oak/projects/neuro-variants/variant_position/credible/roussos_2024/variant_figures/roussos_2024.adolescence.Astrocyte/rs62057067_count_position.png",4,220,900)</f>
        <v/>
      </c>
      <c r="T1708">
        <f>IMAGE("https://mitra.stanford.edu/kundaje/oak/projects/neuro-variants/variant_position/credible/roussos_2024/variant_figures/roussos_2024.adolescence.Astrocyte/rs62057067_profile_position.png",4,220,900)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-0.151767326</v>
      </c>
      <c r="G1709" t="n">
        <v>0.0438528075296073</v>
      </c>
      <c r="H1709" t="n">
        <v>0.0227516782914093</v>
      </c>
      <c r="I1709" t="n">
        <v>0.0952271173445772</v>
      </c>
      <c r="J1709" t="n">
        <v>0.3813340058748479</v>
      </c>
      <c r="K1709" t="n">
        <v>0.09557718261001751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0.01462</v>
      </c>
      <c r="Q1709" t="n">
        <v>-25</v>
      </c>
      <c r="R1709" t="n">
        <v>0.0635</v>
      </c>
      <c r="S1709">
        <f>IMAGE("https://mitra.stanford.edu/kundaje/oak/projects/neuro-variants/variant_position/credible/roussos_2024/variant_figures/roussos_2024.adolescence.Astrocyte/rs117365970_count_position.png",4,220,900)</f>
        <v/>
      </c>
      <c r="T1709">
        <f>IMAGE("https://mitra.stanford.edu/kundaje/oak/projects/neuro-variants/variant_position/credible/roussos_2024/variant_figures/roussos_2024.adolescence.Astrocyte/rs117365970_profile_position.png",4,220,900)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-0.0428993842</v>
      </c>
      <c r="G1710" t="n">
        <v>0.1524917081147584</v>
      </c>
      <c r="H1710" t="n">
        <v>0.0249155653587227</v>
      </c>
      <c r="I1710" t="n">
        <v>0.0669222301625982</v>
      </c>
      <c r="J1710" t="n">
        <v>0.3873497908198083</v>
      </c>
      <c r="K1710" t="n">
        <v>0.0932822137491747</v>
      </c>
      <c r="L1710" t="b">
        <v>0</v>
      </c>
      <c r="M1710" t="b">
        <v>0</v>
      </c>
      <c r="N1710" t="inlineStr">
        <is>
          <t>ref</t>
        </is>
      </c>
      <c r="O1710" t="n">
        <v>-100</v>
      </c>
      <c r="P1710" t="n">
        <v>0.013435</v>
      </c>
      <c r="Q1710" t="n">
        <v>-25</v>
      </c>
      <c r="R1710" t="n">
        <v>0.07666000000000001</v>
      </c>
      <c r="S1710">
        <f>IMAGE("https://mitra.stanford.edu/kundaje/oak/projects/neuro-variants/variant_position/credible/roussos_2024/variant_figures/roussos_2024.adolescence.Astrocyte/rs117646503_count_position.png",4,220,900)</f>
        <v/>
      </c>
      <c r="T1710">
        <f>IMAGE("https://mitra.stanford.edu/kundaje/oak/projects/neuro-variants/variant_position/credible/roussos_2024/variant_figures/roussos_2024.adolescence.Astrocyte/rs117646503_profile_position.png",4,220,900)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-0.03847918012</v>
      </c>
      <c r="G1711" t="n">
        <v>0.3041778045726926</v>
      </c>
      <c r="H1711" t="n">
        <v>0.010999463390135</v>
      </c>
      <c r="I1711" t="n">
        <v>0.6601504628080541</v>
      </c>
      <c r="J1711" t="n">
        <v>0.0830793994599886</v>
      </c>
      <c r="K1711" t="n">
        <v>0.3637111817896485</v>
      </c>
      <c r="L1711" t="b">
        <v>0</v>
      </c>
      <c r="M1711" t="b">
        <v>0</v>
      </c>
      <c r="N1711" t="inlineStr">
        <is>
          <t>ref</t>
        </is>
      </c>
      <c r="O1711" t="n">
        <v>100</v>
      </c>
      <c r="P1711" t="n">
        <v>0.003963</v>
      </c>
      <c r="Q1711" t="n">
        <v>-25</v>
      </c>
      <c r="R1711" t="n">
        <v>0.02719</v>
      </c>
      <c r="S1711">
        <f>IMAGE("https://mitra.stanford.edu/kundaje/oak/projects/neuro-variants/variant_position/credible/roussos_2024/variant_figures/roussos_2024.adolescence.Astrocyte/rs28364023_count_position.png",4,220,900)</f>
        <v/>
      </c>
      <c r="T1711">
        <f>IMAGE("https://mitra.stanford.edu/kundaje/oak/projects/neuro-variants/variant_position/credible/roussos_2024/variant_figures/roussos_2024.adolescence.Astrocyte/rs28364023_profile_position.png",4,220,900)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0.0355155836</v>
      </c>
      <c r="G1712" t="n">
        <v>0.3371553436008694</v>
      </c>
      <c r="H1712" t="n">
        <v>0.0138917498032913</v>
      </c>
      <c r="I1712" t="n">
        <v>0.392805529764373</v>
      </c>
      <c r="J1712" t="n">
        <v>0.0886219327656291</v>
      </c>
      <c r="K1712" t="n">
        <v>0.3490358413544841</v>
      </c>
      <c r="L1712" t="b">
        <v>0</v>
      </c>
      <c r="M1712" t="b">
        <v>0</v>
      </c>
      <c r="N1712" t="inlineStr">
        <is>
          <t>alt</t>
        </is>
      </c>
      <c r="O1712" t="n">
        <v>-100</v>
      </c>
      <c r="P1712" t="n">
        <v>0.004303</v>
      </c>
      <c r="Q1712" t="n">
        <v>70</v>
      </c>
      <c r="R1712" t="n">
        <v>0.06354</v>
      </c>
      <c r="S1712">
        <f>IMAGE("https://mitra.stanford.edu/kundaje/oak/projects/neuro-variants/variant_position/credible/roussos_2024/variant_figures/roussos_2024.adolescence.Astrocyte/rs56099546_count_position.png",4,220,900)</f>
        <v/>
      </c>
      <c r="T1712">
        <f>IMAGE("https://mitra.stanford.edu/kundaje/oak/projects/neuro-variants/variant_position/credible/roussos_2024/variant_figures/roussos_2024.adolescence.Astrocyte/rs56099546_profile_position.png",4,220,900)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0.27675028</v>
      </c>
      <c r="G1713" t="n">
        <v>0.008081272896671699</v>
      </c>
      <c r="H1713" t="n">
        <v>0.0347737241425934</v>
      </c>
      <c r="I1713" t="n">
        <v>0.0176303628857344</v>
      </c>
      <c r="J1713" t="n">
        <v>0.2479667982078746</v>
      </c>
      <c r="K1713" t="n">
        <v>0.1671567002294444</v>
      </c>
      <c r="L1713" t="b">
        <v>1</v>
      </c>
      <c r="M1713" t="b">
        <v>1</v>
      </c>
      <c r="N1713" t="inlineStr">
        <is>
          <t>alt</t>
        </is>
      </c>
      <c r="O1713" t="n">
        <v>95</v>
      </c>
      <c r="P1713" t="n">
        <v>0.00244</v>
      </c>
      <c r="Q1713" t="n">
        <v>75</v>
      </c>
      <c r="R1713" t="n">
        <v>0.012695</v>
      </c>
      <c r="S1713">
        <f>IMAGE("https://mitra.stanford.edu/kundaje/oak/projects/neuro-variants/variant_position/credible/roussos_2024/variant_figures/roussos_2024.adolescence.Astrocyte/rs4277389_count_position.png",4,220,900)</f>
        <v/>
      </c>
      <c r="T1713">
        <f>IMAGE("https://mitra.stanford.edu/kundaje/oak/projects/neuro-variants/variant_position/credible/roussos_2024/variant_figures/roussos_2024.adolescence.Astrocyte/rs4277389_profile_position.png",4,220,900)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0.211891152</v>
      </c>
      <c r="G1714" t="n">
        <v>0.015561038323199</v>
      </c>
      <c r="H1714" t="n">
        <v>0.0339082602946812</v>
      </c>
      <c r="I1714" t="n">
        <v>0.0195680678292175</v>
      </c>
      <c r="J1714" t="n">
        <v>0.2531836928463341</v>
      </c>
      <c r="K1714" t="n">
        <v>0.1643449327855004</v>
      </c>
      <c r="L1714" t="b">
        <v>1</v>
      </c>
      <c r="M1714" t="b">
        <v>0</v>
      </c>
      <c r="N1714" t="inlineStr">
        <is>
          <t>alt</t>
        </is>
      </c>
      <c r="O1714" t="n">
        <v>70</v>
      </c>
      <c r="P1714" t="n">
        <v>0.002396</v>
      </c>
      <c r="Q1714" t="n">
        <v>-70</v>
      </c>
      <c r="R1714" t="n">
        <v>0.08044</v>
      </c>
      <c r="S1714">
        <f>IMAGE("https://mitra.stanford.edu/kundaje/oak/projects/neuro-variants/variant_position/credible/roussos_2024/variant_figures/roussos_2024.adolescence.Astrocyte/rs4309444_count_position.png",4,220,900)</f>
        <v/>
      </c>
      <c r="T1714">
        <f>IMAGE("https://mitra.stanford.edu/kundaje/oak/projects/neuro-variants/variant_position/credible/roussos_2024/variant_figures/roussos_2024.adolescence.Astrocyte/rs4309444_profile_position.png",4,220,900)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-0.0131110222199999</v>
      </c>
      <c r="G1715" t="n">
        <v>0.7006760033581125</v>
      </c>
      <c r="H1715" t="n">
        <v>0.0292390548218503</v>
      </c>
      <c r="I1715" t="n">
        <v>0.0349610295686725</v>
      </c>
      <c r="J1715" t="n">
        <v>0.1243502062130967</v>
      </c>
      <c r="K1715" t="n">
        <v>0.288010579395672</v>
      </c>
      <c r="L1715" t="b">
        <v>0</v>
      </c>
      <c r="M1715" t="b">
        <v>0</v>
      </c>
      <c r="N1715" t="inlineStr">
        <is>
          <t>ref</t>
        </is>
      </c>
      <c r="O1715" t="n">
        <v>-100</v>
      </c>
      <c r="P1715" t="n">
        <v>0.0122</v>
      </c>
      <c r="Q1715" t="n">
        <v>100</v>
      </c>
      <c r="R1715" t="n">
        <v>0.2172</v>
      </c>
      <c r="S1715">
        <f>IMAGE("https://mitra.stanford.edu/kundaje/oak/projects/neuro-variants/variant_position/credible/roussos_2024/variant_figures/roussos_2024.adolescence.Astrocyte/rs78917479_count_position.png",4,220,900)</f>
        <v/>
      </c>
      <c r="T1715">
        <f>IMAGE("https://mitra.stanford.edu/kundaje/oak/projects/neuro-variants/variant_position/credible/roussos_2024/variant_figures/roussos_2024.adolescence.Astrocyte/rs78917479_profile_position.png",4,220,900)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-0.0222846375999999</v>
      </c>
      <c r="G1716" t="n">
        <v>0.4681591130830356</v>
      </c>
      <c r="H1716" t="n">
        <v>0.0105664863633</v>
      </c>
      <c r="I1716" t="n">
        <v>0.6941845989282787</v>
      </c>
      <c r="J1716" t="n">
        <v>0.5012810432305729</v>
      </c>
      <c r="K1716" t="n">
        <v>0.0538177198322464</v>
      </c>
      <c r="L1716" t="b">
        <v>0</v>
      </c>
      <c r="M1716" t="b">
        <v>0</v>
      </c>
      <c r="N1716" t="inlineStr">
        <is>
          <t>ref</t>
        </is>
      </c>
      <c r="O1716" t="n">
        <v>100</v>
      </c>
      <c r="P1716" t="n">
        <v>0.07729999999999999</v>
      </c>
      <c r="Q1716" t="n">
        <v>100</v>
      </c>
      <c r="R1716" t="n">
        <v>0.488</v>
      </c>
      <c r="S1716">
        <f>IMAGE("https://mitra.stanford.edu/kundaje/oak/projects/neuro-variants/variant_position/credible/roussos_2024/variant_figures/roussos_2024.adolescence.Astrocyte/rs4335809_count_position.png",4,220,900)</f>
        <v/>
      </c>
      <c r="T1716">
        <f>IMAGE("https://mitra.stanford.edu/kundaje/oak/projects/neuro-variants/variant_position/credible/roussos_2024/variant_figures/roussos_2024.adolescence.Astrocyte/rs4335809_profile_position.png",4,220,900)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-0.0724496342</v>
      </c>
      <c r="G1717" t="n">
        <v>0.1451745405953315</v>
      </c>
      <c r="H1717" t="n">
        <v>0.0142250340278264</v>
      </c>
      <c r="I1717" t="n">
        <v>0.3721787283095613</v>
      </c>
      <c r="J1717" t="n">
        <v>0.5927936682194463</v>
      </c>
      <c r="K1717" t="n">
        <v>0.032665119548832</v>
      </c>
      <c r="L1717" t="b">
        <v>0</v>
      </c>
      <c r="M1717" t="b">
        <v>0</v>
      </c>
      <c r="N1717" t="inlineStr">
        <is>
          <t>ref</t>
        </is>
      </c>
      <c r="O1717" t="n">
        <v>-100</v>
      </c>
      <c r="P1717" t="n">
        <v>0.04858</v>
      </c>
      <c r="Q1717" t="n">
        <v>-100</v>
      </c>
      <c r="R1717" t="n">
        <v>0.3784</v>
      </c>
      <c r="S1717">
        <f>IMAGE("https://mitra.stanford.edu/kundaje/oak/projects/neuro-variants/variant_position/credible/roussos_2024/variant_figures/roussos_2024.adolescence.Astrocyte/rs4523962_count_position.png",4,220,900)</f>
        <v/>
      </c>
      <c r="T1717">
        <f>IMAGE("https://mitra.stanford.edu/kundaje/oak/projects/neuro-variants/variant_position/credible/roussos_2024/variant_figures/roussos_2024.adolescence.Astrocyte/rs4523962_profile_position.png",4,220,900)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-0.0062905473199999</v>
      </c>
      <c r="G1718" t="n">
        <v>0.6403296093412172</v>
      </c>
      <c r="H1718" t="n">
        <v>0.0119616226991088</v>
      </c>
      <c r="I1718" t="n">
        <v>0.5592560090872827</v>
      </c>
      <c r="J1718" t="n">
        <v>0.6078946978013826</v>
      </c>
      <c r="K1718" t="n">
        <v>0.0305418571009696</v>
      </c>
      <c r="L1718" t="b">
        <v>0</v>
      </c>
      <c r="M1718" t="b">
        <v>0</v>
      </c>
      <c r="N1718" t="inlineStr">
        <is>
          <t>ref</t>
        </is>
      </c>
      <c r="O1718" t="n">
        <v>-100</v>
      </c>
      <c r="P1718" t="n">
        <v>0.01572</v>
      </c>
      <c r="Q1718" t="n">
        <v>-100</v>
      </c>
      <c r="R1718" t="n">
        <v>0.0639</v>
      </c>
      <c r="S1718">
        <f>IMAGE("https://mitra.stanford.edu/kundaje/oak/projects/neuro-variants/variant_position/credible/roussos_2024/variant_figures/roussos_2024.adolescence.Astrocyte/rs3885074_count_position.png",4,220,900)</f>
        <v/>
      </c>
      <c r="T1718">
        <f>IMAGE("https://mitra.stanford.edu/kundaje/oak/projects/neuro-variants/variant_position/credible/roussos_2024/variant_figures/roussos_2024.adolescence.Astrocyte/rs3885074_profile_position.png",4,220,900)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-0.1690552792</v>
      </c>
      <c r="G1719" t="n">
        <v>0.0279623861157575</v>
      </c>
      <c r="H1719" t="n">
        <v>0.0210808969844761</v>
      </c>
      <c r="I1719" t="n">
        <v>0.1175643185049102</v>
      </c>
      <c r="J1719" t="n">
        <v>0.6192727650357535</v>
      </c>
      <c r="K1719" t="n">
        <v>0.0304955450808067</v>
      </c>
      <c r="L1719" t="b">
        <v>0</v>
      </c>
      <c r="M1719" t="b">
        <v>0</v>
      </c>
      <c r="N1719" t="inlineStr">
        <is>
          <t>ref</t>
        </is>
      </c>
      <c r="O1719" t="n">
        <v>5</v>
      </c>
      <c r="P1719" t="n">
        <v>0.0003967</v>
      </c>
      <c r="Q1719" t="n">
        <v>0</v>
      </c>
      <c r="R1719" t="n">
        <v>0</v>
      </c>
      <c r="S1719">
        <f>IMAGE("https://mitra.stanford.edu/kundaje/oak/projects/neuro-variants/variant_position/credible/roussos_2024/variant_figures/roussos_2024.adolescence.Astrocyte/rs62057147_count_position.png",4,220,900)</f>
        <v/>
      </c>
      <c r="T1719">
        <f>IMAGE("https://mitra.stanford.edu/kundaje/oak/projects/neuro-variants/variant_position/credible/roussos_2024/variant_figures/roussos_2024.adolescence.Astrocyte/rs62057147_profile_position.png",4,220,900)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-0.08798195696</v>
      </c>
      <c r="G1720" t="n">
        <v>0.1606732545327094</v>
      </c>
      <c r="H1720" t="n">
        <v>0.0156088754894301</v>
      </c>
      <c r="I1720" t="n">
        <v>0.2886090456882171</v>
      </c>
      <c r="J1720" t="n">
        <v>0.6154140580957186</v>
      </c>
      <c r="K1720" t="n">
        <v>0.031117770416554</v>
      </c>
      <c r="L1720" t="b">
        <v>0</v>
      </c>
      <c r="M1720" t="b">
        <v>0</v>
      </c>
      <c r="N1720" t="inlineStr">
        <is>
          <t>ref</t>
        </is>
      </c>
      <c r="O1720" t="n">
        <v>-35</v>
      </c>
      <c r="P1720" t="n">
        <v>0.00354</v>
      </c>
      <c r="Q1720" t="n">
        <v>-35</v>
      </c>
      <c r="R1720" t="n">
        <v>0.1089</v>
      </c>
      <c r="S1720">
        <f>IMAGE("https://mitra.stanford.edu/kundaje/oak/projects/neuro-variants/variant_position/credible/roussos_2024/variant_figures/roussos_2024.adolescence.Astrocyte/rs17763050_count_position.png",4,220,900)</f>
        <v/>
      </c>
      <c r="T1720">
        <f>IMAGE("https://mitra.stanford.edu/kundaje/oak/projects/neuro-variants/variant_position/credible/roussos_2024/variant_figures/roussos_2024.adolescence.Astrocyte/rs17763050_profile_position.png",4,220,900)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-0.0718993229999999</v>
      </c>
      <c r="G1721" t="n">
        <v>0.1386936373607371</v>
      </c>
      <c r="H1721" t="n">
        <v>0.0126826123379783</v>
      </c>
      <c r="I1721" t="n">
        <v>0.4907336455358955</v>
      </c>
      <c r="J1721" t="n">
        <v>0.5868617037059016</v>
      </c>
      <c r="K1721" t="n">
        <v>0.0357660053453908</v>
      </c>
      <c r="L1721" t="b">
        <v>0</v>
      </c>
      <c r="M1721" t="b">
        <v>0</v>
      </c>
      <c r="N1721" t="inlineStr">
        <is>
          <t>ref</t>
        </is>
      </c>
      <c r="O1721" t="n">
        <v>-90</v>
      </c>
      <c r="P1721" t="n">
        <v>0.0452</v>
      </c>
      <c r="Q1721" t="n">
        <v>-100</v>
      </c>
      <c r="R1721" t="n">
        <v>0.6514</v>
      </c>
      <c r="S1721">
        <f>IMAGE("https://mitra.stanford.edu/kundaje/oak/projects/neuro-variants/variant_position/credible/roussos_2024/variant_figures/roussos_2024.adolescence.Astrocyte/rs62057150_count_position.png",4,220,900)</f>
        <v/>
      </c>
      <c r="T1721">
        <f>IMAGE("https://mitra.stanford.edu/kundaje/oak/projects/neuro-variants/variant_position/credible/roussos_2024/variant_figures/roussos_2024.adolescence.Astrocyte/rs62057150_profile_position.png",4,220,900)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-0.0707154716</v>
      </c>
      <c r="G1722" t="n">
        <v>0.1150240926996134</v>
      </c>
      <c r="H1722" t="n">
        <v>0.0155729441605166</v>
      </c>
      <c r="I1722" t="n">
        <v>0.2889732758930299</v>
      </c>
      <c r="J1722" t="n">
        <v>0.5438180577396671</v>
      </c>
      <c r="K1722" t="n">
        <v>0.0444947899739989</v>
      </c>
      <c r="L1722" t="b">
        <v>0</v>
      </c>
      <c r="M1722" t="b">
        <v>0</v>
      </c>
      <c r="N1722" t="inlineStr">
        <is>
          <t>ref</t>
        </is>
      </c>
      <c r="O1722" t="n">
        <v>-100</v>
      </c>
      <c r="P1722" t="n">
        <v>0.011925</v>
      </c>
      <c r="Q1722" t="n">
        <v>100</v>
      </c>
      <c r="R1722" t="n">
        <v>0.1135</v>
      </c>
      <c r="S1722">
        <f>IMAGE("https://mitra.stanford.edu/kundaje/oak/projects/neuro-variants/variant_position/credible/roussos_2024/variant_figures/roussos_2024.adolescence.Astrocyte/rs62057151_count_position.png",4,220,900)</f>
        <v/>
      </c>
      <c r="T1722">
        <f>IMAGE("https://mitra.stanford.edu/kundaje/oak/projects/neuro-variants/variant_position/credible/roussos_2024/variant_figures/roussos_2024.adolescence.Astrocyte/rs62057151_profile_position.png",4,220,900)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-0.0539970458</v>
      </c>
      <c r="G1723" t="n">
        <v>0.1985149617899958</v>
      </c>
      <c r="H1723" t="n">
        <v>0.009866767332885501</v>
      </c>
      <c r="I1723" t="n">
        <v>0.7512446699202335</v>
      </c>
      <c r="J1723" t="n">
        <v>0.3826031807257514</v>
      </c>
      <c r="K1723" t="n">
        <v>0.09459474322084351</v>
      </c>
      <c r="L1723" t="b">
        <v>0</v>
      </c>
      <c r="M1723" t="b">
        <v>0</v>
      </c>
      <c r="N1723" t="inlineStr">
        <is>
          <t>ref</t>
        </is>
      </c>
      <c r="O1723" t="n">
        <v>-75</v>
      </c>
      <c r="P1723" t="n">
        <v>0.01431</v>
      </c>
      <c r="Q1723" t="n">
        <v>-100</v>
      </c>
      <c r="R1723" t="n">
        <v>0.1084</v>
      </c>
      <c r="S1723">
        <f>IMAGE("https://mitra.stanford.edu/kundaje/oak/projects/neuro-variants/variant_position/credible/roussos_2024/variant_figures/roussos_2024.adolescence.Astrocyte/rs62057153_count_position.png",4,220,900)</f>
        <v/>
      </c>
      <c r="T1723">
        <f>IMAGE("https://mitra.stanford.edu/kundaje/oak/projects/neuro-variants/variant_position/credible/roussos_2024/variant_figures/roussos_2024.adolescence.Astrocyte/rs62057153_profile_position.png",4,220,900)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-0.0004749237399999</v>
      </c>
      <c r="G1724" t="n">
        <v>0.6463925277502058</v>
      </c>
      <c r="H1724" t="n">
        <v>0.0157362389467697</v>
      </c>
      <c r="I1724" t="n">
        <v>0.2901249102238507</v>
      </c>
      <c r="J1724" t="n">
        <v>0.3559356733821914</v>
      </c>
      <c r="K1724" t="n">
        <v>0.1063250423810676</v>
      </c>
      <c r="L1724" t="b">
        <v>0</v>
      </c>
      <c r="M1724" t="b">
        <v>0</v>
      </c>
      <c r="N1724" t="inlineStr">
        <is>
          <t>ref</t>
        </is>
      </c>
      <c r="O1724" t="n">
        <v>20</v>
      </c>
      <c r="P1724" t="n">
        <v>0.001606</v>
      </c>
      <c r="Q1724" t="n">
        <v>-95</v>
      </c>
      <c r="R1724" t="n">
        <v>0.2117</v>
      </c>
      <c r="S1724">
        <f>IMAGE("https://mitra.stanford.edu/kundaje/oak/projects/neuro-variants/variant_position/credible/roussos_2024/variant_figures/roussos_2024.adolescence.Astrocyte/rs62057155_count_position.png",4,220,900)</f>
        <v/>
      </c>
      <c r="T1724">
        <f>IMAGE("https://mitra.stanford.edu/kundaje/oak/projects/neuro-variants/variant_position/credible/roussos_2024/variant_figures/roussos_2024.adolescence.Astrocyte/rs62057155_profile_position.png",4,220,900)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0.01296878516</v>
      </c>
      <c r="G1725" t="n">
        <v>0.6603346744719728</v>
      </c>
      <c r="H1725" t="n">
        <v>0.009932932542336599</v>
      </c>
      <c r="I1725" t="n">
        <v>0.7731270809132922</v>
      </c>
      <c r="J1725" t="n">
        <v>0.2241439931163397</v>
      </c>
      <c r="K1725" t="n">
        <v>0.1866729599874189</v>
      </c>
      <c r="L1725" t="b">
        <v>0</v>
      </c>
      <c r="M1725" t="b">
        <v>0</v>
      </c>
      <c r="N1725" t="inlineStr">
        <is>
          <t>alt</t>
        </is>
      </c>
      <c r="O1725" t="n">
        <v>75</v>
      </c>
      <c r="P1725" t="n">
        <v>0.010704</v>
      </c>
      <c r="Q1725" t="n">
        <v>75</v>
      </c>
      <c r="R1725" t="n">
        <v>0.26</v>
      </c>
      <c r="S1725">
        <f>IMAGE("https://mitra.stanford.edu/kundaje/oak/projects/neuro-variants/variant_position/credible/roussos_2024/variant_figures/roussos_2024.adolescence.Astrocyte/rs1876829_count_position.png",4,220,900)</f>
        <v/>
      </c>
      <c r="T1725">
        <f>IMAGE("https://mitra.stanford.edu/kundaje/oak/projects/neuro-variants/variant_position/credible/roussos_2024/variant_figures/roussos_2024.adolescence.Astrocyte/rs1876829_profile_position.png",4,220,900)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-0.09273317339999999</v>
      </c>
      <c r="G1726" t="n">
        <v>0.0981673017486102</v>
      </c>
      <c r="H1726" t="n">
        <v>0.0178448708978897</v>
      </c>
      <c r="I1726" t="n">
        <v>0.1960645665189785</v>
      </c>
      <c r="J1726" t="n">
        <v>0.2298756787229623</v>
      </c>
      <c r="K1726" t="n">
        <v>0.182207535112124</v>
      </c>
      <c r="L1726" t="b">
        <v>0</v>
      </c>
      <c r="M1726" t="b">
        <v>0</v>
      </c>
      <c r="N1726" t="inlineStr">
        <is>
          <t>ref</t>
        </is>
      </c>
      <c r="O1726" t="n">
        <v>-100</v>
      </c>
      <c r="P1726" t="n">
        <v>0.00315</v>
      </c>
      <c r="Q1726" t="n">
        <v>-100</v>
      </c>
      <c r="R1726" t="n">
        <v>0.0567</v>
      </c>
      <c r="S1726">
        <f>IMAGE("https://mitra.stanford.edu/kundaje/oak/projects/neuro-variants/variant_position/credible/roussos_2024/variant_figures/roussos_2024.adolescence.Astrocyte/rs878887_count_position.png",4,220,900)</f>
        <v/>
      </c>
      <c r="T1726">
        <f>IMAGE("https://mitra.stanford.edu/kundaje/oak/projects/neuro-variants/variant_position/credible/roussos_2024/variant_figures/roussos_2024.adolescence.Astrocyte/rs878887_profile_position.png",4,220,900)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-0.004032475948</v>
      </c>
      <c r="G1727" t="n">
        <v>0.1729307545753148</v>
      </c>
      <c r="H1727" t="n">
        <v>0.0234984844498611</v>
      </c>
      <c r="I1727" t="n">
        <v>0.08308279165738849</v>
      </c>
      <c r="J1727" t="n">
        <v>0.2415816099457021</v>
      </c>
      <c r="K1727" t="n">
        <v>0.1733547357247349</v>
      </c>
      <c r="L1727" t="b">
        <v>0</v>
      </c>
      <c r="M1727" t="b">
        <v>0</v>
      </c>
      <c r="N1727" t="inlineStr">
        <is>
          <t>ref</t>
        </is>
      </c>
      <c r="O1727" t="n">
        <v>20</v>
      </c>
      <c r="P1727" t="n">
        <v>0.0001984</v>
      </c>
      <c r="Q1727" t="n">
        <v>80</v>
      </c>
      <c r="R1727" t="n">
        <v>0.094</v>
      </c>
      <c r="S1727">
        <f>IMAGE("https://mitra.stanford.edu/kundaje/oak/projects/neuro-variants/variant_position/credible/roussos_2024/variant_figures/roussos_2024.adolescence.Astrocyte/rs75104593_count_position.png",4,220,900)</f>
        <v/>
      </c>
      <c r="T1727">
        <f>IMAGE("https://mitra.stanford.edu/kundaje/oak/projects/neuro-variants/variant_position/credible/roussos_2024/variant_figures/roussos_2024.adolescence.Astrocyte/rs75104593_profile_position.png",4,220,900)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-0.145947878</v>
      </c>
      <c r="G1728" t="n">
        <v>0.039716146784496</v>
      </c>
      <c r="H1728" t="n">
        <v>0.0364094251150196</v>
      </c>
      <c r="I1728" t="n">
        <v>0.0155390984465373</v>
      </c>
      <c r="J1728" t="n">
        <v>0.2329406877726018</v>
      </c>
      <c r="K1728" t="n">
        <v>0.1801727945553609</v>
      </c>
      <c r="L1728" t="b">
        <v>1</v>
      </c>
      <c r="M1728" t="b">
        <v>0</v>
      </c>
      <c r="N1728" t="inlineStr">
        <is>
          <t>ref</t>
        </is>
      </c>
      <c r="O1728" t="n">
        <v>20</v>
      </c>
      <c r="P1728" t="n">
        <v>0.0006256</v>
      </c>
      <c r="Q1728" t="n">
        <v>75</v>
      </c>
      <c r="R1728" t="n">
        <v>0.0956</v>
      </c>
      <c r="S1728">
        <f>IMAGE("https://mitra.stanford.edu/kundaje/oak/projects/neuro-variants/variant_position/credible/roussos_2024/variant_figures/roussos_2024.adolescence.Astrocyte/rs74998289_count_position.png",4,220,900)</f>
        <v/>
      </c>
      <c r="T1728">
        <f>IMAGE("https://mitra.stanford.edu/kundaje/oak/projects/neuro-variants/variant_position/credible/roussos_2024/variant_figures/roussos_2024.adolescence.Astrocyte/rs74998289_profile_position.png",4,220,900)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-0.0418535092</v>
      </c>
      <c r="G1729" t="n">
        <v>0.298232202467643</v>
      </c>
      <c r="H1729" t="n">
        <v>0.0123470100889332</v>
      </c>
      <c r="I1729" t="n">
        <v>0.5090121609430172</v>
      </c>
      <c r="J1729" t="n">
        <v>0.2504302287630181</v>
      </c>
      <c r="K1729" t="n">
        <v>0.1676849003478773</v>
      </c>
      <c r="L1729" t="b">
        <v>0</v>
      </c>
      <c r="M1729" t="b">
        <v>0</v>
      </c>
      <c r="N1729" t="inlineStr">
        <is>
          <t>ref</t>
        </is>
      </c>
      <c r="O1729" t="n">
        <v>100</v>
      </c>
      <c r="P1729" t="n">
        <v>0.002258</v>
      </c>
      <c r="Q1729" t="n">
        <v>75</v>
      </c>
      <c r="R1729" t="n">
        <v>0.0898</v>
      </c>
      <c r="S1729">
        <f>IMAGE("https://mitra.stanford.edu/kundaje/oak/projects/neuro-variants/variant_position/credible/roussos_2024/variant_figures/roussos_2024.adolescence.Astrocyte/rs62054804_count_position.png",4,220,900)</f>
        <v/>
      </c>
      <c r="T1729">
        <f>IMAGE("https://mitra.stanford.edu/kundaje/oak/projects/neuro-variants/variant_position/credible/roussos_2024/variant_figures/roussos_2024.adolescence.Astrocyte/rs62054804_profile_position.png",4,220,900)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-0.01442463464</v>
      </c>
      <c r="G1730" t="n">
        <v>0.6426399999940517</v>
      </c>
      <c r="H1730" t="n">
        <v>0.033613068687389</v>
      </c>
      <c r="I1730" t="n">
        <v>0.0196227510544783</v>
      </c>
      <c r="J1730" t="n">
        <v>0.0427239414888881</v>
      </c>
      <c r="K1730" t="n">
        <v>0.4646528198366139</v>
      </c>
      <c r="L1730" t="b">
        <v>1</v>
      </c>
      <c r="M1730" t="b">
        <v>0</v>
      </c>
      <c r="N1730" t="inlineStr">
        <is>
          <t>ref</t>
        </is>
      </c>
      <c r="O1730" t="n">
        <v>-100</v>
      </c>
      <c r="P1730" t="n">
        <v>0.02588</v>
      </c>
      <c r="Q1730" t="n">
        <v>85</v>
      </c>
      <c r="R1730" t="n">
        <v>0.1794</v>
      </c>
      <c r="S1730">
        <f>IMAGE("https://mitra.stanford.edu/kundaje/oak/projects/neuro-variants/variant_position/credible/roussos_2024/variant_figures/roussos_2024.adolescence.Astrocyte/rs74922289_count_position.png",4,220,900)</f>
        <v/>
      </c>
      <c r="T1730">
        <f>IMAGE("https://mitra.stanford.edu/kundaje/oak/projects/neuro-variants/variant_position/credible/roussos_2024/variant_figures/roussos_2024.adolescence.Astrocyte/rs74922289_profile_position.png",4,220,900)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0.0685718048</v>
      </c>
      <c r="G1731" t="n">
        <v>0.1582884295395579</v>
      </c>
      <c r="H1731" t="n">
        <v>0.015360437720705</v>
      </c>
      <c r="I1731" t="n">
        <v>0.3059622576797163</v>
      </c>
      <c r="J1731" t="n">
        <v>0.0534737263745066</v>
      </c>
      <c r="K1731" t="n">
        <v>0.4251300113121593</v>
      </c>
      <c r="L1731" t="b">
        <v>0</v>
      </c>
      <c r="M1731" t="b">
        <v>0</v>
      </c>
      <c r="N1731" t="inlineStr">
        <is>
          <t>alt</t>
        </is>
      </c>
      <c r="O1731" t="n">
        <v>-100</v>
      </c>
      <c r="P1731" t="n">
        <v>0.005264</v>
      </c>
      <c r="Q1731" t="n">
        <v>90</v>
      </c>
      <c r="R1731" t="n">
        <v>0.04736</v>
      </c>
      <c r="S1731">
        <f>IMAGE("https://mitra.stanford.edu/kundaje/oak/projects/neuro-variants/variant_position/credible/roussos_2024/variant_figures/roussos_2024.adolescence.Astrocyte/rs56971664_count_position.png",4,220,900)</f>
        <v/>
      </c>
      <c r="T1731">
        <f>IMAGE("https://mitra.stanford.edu/kundaje/oak/projects/neuro-variants/variant_position/credible/roussos_2024/variant_figures/roussos_2024.adolescence.Astrocyte/rs56971664_profile_position.png",4,220,900)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0.07211598600000001</v>
      </c>
      <c r="G1732" t="n">
        <v>0.07774215831719131</v>
      </c>
      <c r="H1732" t="n">
        <v>0.0309006457414472</v>
      </c>
      <c r="I1732" t="n">
        <v>0.0300950993889638</v>
      </c>
      <c r="J1732" t="n">
        <v>0.1887228139928196</v>
      </c>
      <c r="K1732" t="n">
        <v>0.2147868662593343</v>
      </c>
      <c r="L1732" t="b">
        <v>0</v>
      </c>
      <c r="M1732" t="b">
        <v>0</v>
      </c>
      <c r="N1732" t="inlineStr">
        <is>
          <t>alt</t>
        </is>
      </c>
      <c r="O1732" t="n">
        <v>5</v>
      </c>
      <c r="P1732" t="n">
        <v>0.001343</v>
      </c>
      <c r="Q1732" t="n">
        <v>-10</v>
      </c>
      <c r="R1732" t="n">
        <v>0.02686</v>
      </c>
      <c r="S1732">
        <f>IMAGE("https://mitra.stanford.edu/kundaje/oak/projects/neuro-variants/variant_position/credible/roussos_2024/variant_figures/roussos_2024.adolescence.Astrocyte/rs17763596_count_position.png",4,220,900)</f>
        <v/>
      </c>
      <c r="T1732">
        <f>IMAGE("https://mitra.stanford.edu/kundaje/oak/projects/neuro-variants/variant_position/credible/roussos_2024/variant_figures/roussos_2024.adolescence.Astrocyte/rs17763596_profile_position.png",4,220,900)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-0.1033077789999999</v>
      </c>
      <c r="G1733" t="n">
        <v>0.0829755851700788</v>
      </c>
      <c r="H1733" t="n">
        <v>0.0154809575308622</v>
      </c>
      <c r="I1733" t="n">
        <v>0.2980334182914363</v>
      </c>
      <c r="J1733" t="n">
        <v>0.1852705990564638</v>
      </c>
      <c r="K1733" t="n">
        <v>0.2175392835723543</v>
      </c>
      <c r="L1733" t="b">
        <v>0</v>
      </c>
      <c r="M1733" t="b">
        <v>0</v>
      </c>
      <c r="N1733" t="inlineStr">
        <is>
          <t>ref</t>
        </is>
      </c>
      <c r="O1733" t="n">
        <v>85</v>
      </c>
      <c r="P1733" t="n">
        <v>0.005703</v>
      </c>
      <c r="Q1733" t="n">
        <v>25</v>
      </c>
      <c r="R1733" t="n">
        <v>0.013275</v>
      </c>
      <c r="S1733">
        <f>IMAGE("https://mitra.stanford.edu/kundaje/oak/projects/neuro-variants/variant_position/credible/roussos_2024/variant_figures/roussos_2024.adolescence.Astrocyte/rs62054815_count_position.png",4,220,900)</f>
        <v/>
      </c>
      <c r="T1733">
        <f>IMAGE("https://mitra.stanford.edu/kundaje/oak/projects/neuro-variants/variant_position/credible/roussos_2024/variant_figures/roussos_2024.adolescence.Astrocyte/rs62054815_profile_position.png",4,220,900)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0.0373417538</v>
      </c>
      <c r="G1734" t="n">
        <v>0.362348899375497</v>
      </c>
      <c r="H1734" t="n">
        <v>0.0156242336026343</v>
      </c>
      <c r="I1734" t="n">
        <v>0.3045594506058949</v>
      </c>
      <c r="J1734" t="n">
        <v>0.2361444085096282</v>
      </c>
      <c r="K1734" t="n">
        <v>0.1758898163446861</v>
      </c>
      <c r="L1734" t="b">
        <v>0</v>
      </c>
      <c r="M1734" t="b">
        <v>0</v>
      </c>
      <c r="N1734" t="inlineStr">
        <is>
          <t>alt</t>
        </is>
      </c>
      <c r="O1734" t="n">
        <v>95</v>
      </c>
      <c r="P1734" t="n">
        <v>0.009299999999999999</v>
      </c>
      <c r="Q1734" t="n">
        <v>50</v>
      </c>
      <c r="R1734" t="n">
        <v>0.0211</v>
      </c>
      <c r="S1734">
        <f>IMAGE("https://mitra.stanford.edu/kundaje/oak/projects/neuro-variants/variant_position/credible/roussos_2024/variant_figures/roussos_2024.adolescence.Astrocyte/rs11079725_count_position.png",4,220,900)</f>
        <v/>
      </c>
      <c r="T1734">
        <f>IMAGE("https://mitra.stanford.edu/kundaje/oak/projects/neuro-variants/variant_position/credible/roussos_2024/variant_figures/roussos_2024.adolescence.Astrocyte/rs11079725_profile_position.png",4,220,900)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0.198543672</v>
      </c>
      <c r="G1735" t="n">
        <v>0.0184491647013666</v>
      </c>
      <c r="H1735" t="n">
        <v>0.0180405922953927</v>
      </c>
      <c r="I1735" t="n">
        <v>0.1961902359115017</v>
      </c>
      <c r="J1735" t="n">
        <v>0.3906425244043556</v>
      </c>
      <c r="K1735" t="n">
        <v>0.0918295781647028</v>
      </c>
      <c r="L1735" t="b">
        <v>1</v>
      </c>
      <c r="M1735" t="b">
        <v>0</v>
      </c>
      <c r="N1735" t="inlineStr">
        <is>
          <t>alt</t>
        </is>
      </c>
      <c r="O1735" t="n">
        <v>-35</v>
      </c>
      <c r="P1735" t="n">
        <v>0.01114</v>
      </c>
      <c r="Q1735" t="n">
        <v>-50</v>
      </c>
      <c r="R1735" t="n">
        <v>0.12085</v>
      </c>
      <c r="S1735">
        <f>IMAGE("https://mitra.stanford.edu/kundaje/oak/projects/neuro-variants/variant_position/credible/roussos_2024/variant_figures/roussos_2024.adolescence.Astrocyte/rs55943825_count_position.png",4,220,900)</f>
        <v/>
      </c>
      <c r="T1735">
        <f>IMAGE("https://mitra.stanford.edu/kundaje/oak/projects/neuro-variants/variant_position/credible/roussos_2024/variant_figures/roussos_2024.adolescence.Astrocyte/rs55943825_profile_position.png",4,220,900)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0.1090496586</v>
      </c>
      <c r="G1736" t="n">
        <v>0.0771819263680345</v>
      </c>
      <c r="H1736" t="n">
        <v>0.0435686946689898</v>
      </c>
      <c r="I1736" t="n">
        <v>0.011282590054956</v>
      </c>
      <c r="J1736" t="n">
        <v>0.7186073940005341</v>
      </c>
      <c r="K1736" t="n">
        <v>0.0156005898846856</v>
      </c>
      <c r="L1736" t="b">
        <v>1</v>
      </c>
      <c r="M1736" t="b">
        <v>0</v>
      </c>
      <c r="N1736" t="inlineStr">
        <is>
          <t>alt</t>
        </is>
      </c>
      <c r="O1736" t="n">
        <v>75</v>
      </c>
      <c r="P1736" t="n">
        <v>0.01613</v>
      </c>
      <c r="Q1736" t="n">
        <v>-100</v>
      </c>
      <c r="R1736" t="n">
        <v>0.1306</v>
      </c>
      <c r="S1736">
        <f>IMAGE("https://mitra.stanford.edu/kundaje/oak/projects/neuro-variants/variant_position/credible/roussos_2024/variant_figures/roussos_2024.adolescence.Astrocyte/rs62054817_count_position.png",4,220,900)</f>
        <v/>
      </c>
      <c r="T1736">
        <f>IMAGE("https://mitra.stanford.edu/kundaje/oak/projects/neuro-variants/variant_position/credible/roussos_2024/variant_figures/roussos_2024.adolescence.Astrocyte/rs62054817_profile_position.png",4,220,900)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0.0270653115</v>
      </c>
      <c r="G1737" t="n">
        <v>0.4007705941086637</v>
      </c>
      <c r="H1737" t="n">
        <v>0.0120693525172843</v>
      </c>
      <c r="I1737" t="n">
        <v>0.5478097023557729</v>
      </c>
      <c r="J1737" t="n">
        <v>0.4071714684152746</v>
      </c>
      <c r="K1737" t="n">
        <v>0.08498338080617469</v>
      </c>
      <c r="L1737" t="b">
        <v>0</v>
      </c>
      <c r="M1737" t="b">
        <v>0</v>
      </c>
      <c r="N1737" t="inlineStr">
        <is>
          <t>alt</t>
        </is>
      </c>
      <c r="O1737" t="n">
        <v>100</v>
      </c>
      <c r="P1737" t="n">
        <v>0.04236</v>
      </c>
      <c r="Q1737" t="n">
        <v>90</v>
      </c>
      <c r="R1737" t="n">
        <v>0.1768</v>
      </c>
      <c r="S1737">
        <f>IMAGE("https://mitra.stanford.edu/kundaje/oak/projects/neuro-variants/variant_position/credible/roussos_2024/variant_figures/roussos_2024.adolescence.Astrocyte/rs62054824_count_position.png",4,220,900)</f>
        <v/>
      </c>
      <c r="T1737">
        <f>IMAGE("https://mitra.stanford.edu/kundaje/oak/projects/neuro-variants/variant_position/credible/roussos_2024/variant_figures/roussos_2024.adolescence.Astrocyte/rs62054824_profile_position.png",4,220,900)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-0.0980192126</v>
      </c>
      <c r="G1738" t="n">
        <v>0.083508838674088</v>
      </c>
      <c r="H1738" t="n">
        <v>0.0267257108024072</v>
      </c>
      <c r="I1738" t="n">
        <v>0.0521690561465564</v>
      </c>
      <c r="J1738" t="n">
        <v>0.4050440613595228</v>
      </c>
      <c r="K1738" t="n">
        <v>0.0859454316214481</v>
      </c>
      <c r="L1738" t="b">
        <v>0</v>
      </c>
      <c r="M1738" t="b">
        <v>0</v>
      </c>
      <c r="N1738" t="inlineStr">
        <is>
          <t>ref</t>
        </is>
      </c>
      <c r="O1738" t="n">
        <v>95</v>
      </c>
      <c r="P1738" t="n">
        <v>0.3647</v>
      </c>
      <c r="Q1738" t="n">
        <v>95</v>
      </c>
      <c r="R1738" t="n">
        <v>0.8354</v>
      </c>
      <c r="S1738">
        <f>IMAGE("https://mitra.stanford.edu/kundaje/oak/projects/neuro-variants/variant_position/credible/roussos_2024/variant_figures/roussos_2024.adolescence.Astrocyte/rs62054825_count_position.png",4,220,900)</f>
        <v/>
      </c>
      <c r="T1738">
        <f>IMAGE("https://mitra.stanford.edu/kundaje/oak/projects/neuro-variants/variant_position/credible/roussos_2024/variant_figures/roussos_2024.adolescence.Astrocyte/rs62054825_profile_position.png",4,220,900)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0.21862282</v>
      </c>
      <c r="G1739" t="n">
        <v>0.0145842193210162</v>
      </c>
      <c r="H1739" t="n">
        <v>0.0266481125016669</v>
      </c>
      <c r="I1739" t="n">
        <v>0.0506136344180777</v>
      </c>
      <c r="J1739" t="n">
        <v>0.1927795745185888</v>
      </c>
      <c r="K1739" t="n">
        <v>0.219082087233018</v>
      </c>
      <c r="L1739" t="b">
        <v>1</v>
      </c>
      <c r="M1739" t="b">
        <v>0</v>
      </c>
      <c r="N1739" t="inlineStr">
        <is>
          <t>alt</t>
        </is>
      </c>
      <c r="O1739" t="n">
        <v>-60</v>
      </c>
      <c r="P1739" t="n">
        <v>0.002296</v>
      </c>
      <c r="Q1739" t="n">
        <v>60</v>
      </c>
      <c r="R1739" t="n">
        <v>0.10754</v>
      </c>
      <c r="S1739">
        <f>IMAGE("https://mitra.stanford.edu/kundaje/oak/projects/neuro-variants/variant_position/credible/roussos_2024/variant_figures/roussos_2024.adolescence.Astrocyte/rs56026128_count_position.png",4,220,900)</f>
        <v/>
      </c>
      <c r="T1739">
        <f>IMAGE("https://mitra.stanford.edu/kundaje/oak/projects/neuro-variants/variant_position/credible/roussos_2024/variant_figures/roussos_2024.adolescence.Astrocyte/rs56026128_profile_position.png",4,220,900)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0.1224022178</v>
      </c>
      <c r="G1740" t="n">
        <v>0.0523712561715076</v>
      </c>
      <c r="H1740" t="n">
        <v>0.021709834605265</v>
      </c>
      <c r="I1740" t="n">
        <v>0.1054266019376353</v>
      </c>
      <c r="J1740" t="n">
        <v>0.162892027415957</v>
      </c>
      <c r="K1740" t="n">
        <v>0.2492618535549532</v>
      </c>
      <c r="L1740" t="b">
        <v>0</v>
      </c>
      <c r="M1740" t="b">
        <v>0</v>
      </c>
      <c r="N1740" t="inlineStr">
        <is>
          <t>alt</t>
        </is>
      </c>
      <c r="O1740" t="n">
        <v>60</v>
      </c>
      <c r="P1740" t="n">
        <v>0.003826</v>
      </c>
      <c r="Q1740" t="n">
        <v>60</v>
      </c>
      <c r="R1740" t="n">
        <v>0.10004</v>
      </c>
      <c r="S1740">
        <f>IMAGE("https://mitra.stanford.edu/kundaje/oak/projects/neuro-variants/variant_position/credible/roussos_2024/variant_figures/roussos_2024.adolescence.Astrocyte/rs56329743_count_position.png",4,220,900)</f>
        <v/>
      </c>
      <c r="T1740">
        <f>IMAGE("https://mitra.stanford.edu/kundaje/oak/projects/neuro-variants/variant_position/credible/roussos_2024/variant_figures/roussos_2024.adolescence.Astrocyte/rs56329743_profile_position.png",4,220,900)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0.5325217179999999</v>
      </c>
      <c r="G1741" t="n">
        <v>0.0009001804641632001</v>
      </c>
      <c r="H1741" t="n">
        <v>0.0466130073781924</v>
      </c>
      <c r="I1741" t="n">
        <v>0.0054538399184211</v>
      </c>
      <c r="J1741" t="n">
        <v>0.0906833219594694</v>
      </c>
      <c r="K1741" t="n">
        <v>0.3846744081799856</v>
      </c>
      <c r="L1741" t="b">
        <v>1</v>
      </c>
      <c r="M1741" t="b">
        <v>1</v>
      </c>
      <c r="N1741" t="inlineStr">
        <is>
          <t>alt</t>
        </is>
      </c>
      <c r="O1741" t="n">
        <v>35</v>
      </c>
      <c r="P1741" t="n">
        <v>0.00332</v>
      </c>
      <c r="Q1741" t="n">
        <v>40</v>
      </c>
      <c r="R1741" t="n">
        <v>0.0814</v>
      </c>
      <c r="S1741">
        <f>IMAGE("https://mitra.stanford.edu/kundaje/oak/projects/neuro-variants/variant_position/credible/roussos_2024/variant_figures/roussos_2024.adolescence.Astrocyte/rs62054844_count_position.png",4,220,900)</f>
        <v/>
      </c>
      <c r="T1741">
        <f>IMAGE("https://mitra.stanford.edu/kundaje/oak/projects/neuro-variants/variant_position/credible/roussos_2024/variant_figures/roussos_2024.adolescence.Astrocyte/rs62054844_profile_position.png",4,220,900)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-0.14843095</v>
      </c>
      <c r="G1742" t="n">
        <v>0.038160735474215</v>
      </c>
      <c r="H1742" t="n">
        <v>0.0238521744988015</v>
      </c>
      <c r="I1742" t="n">
        <v>0.0783686605111408</v>
      </c>
      <c r="J1742" t="n">
        <v>0.008682461501943401</v>
      </c>
      <c r="K1742" t="n">
        <v>0.7065047375042386</v>
      </c>
      <c r="L1742" t="b">
        <v>0</v>
      </c>
      <c r="M1742" t="b">
        <v>0</v>
      </c>
      <c r="N1742" t="inlineStr">
        <is>
          <t>ref</t>
        </is>
      </c>
      <c r="O1742" t="n">
        <v>-90</v>
      </c>
      <c r="P1742" t="n">
        <v>0.004387</v>
      </c>
      <c r="Q1742" t="n">
        <v>95</v>
      </c>
      <c r="R1742" t="n">
        <v>0.1624</v>
      </c>
      <c r="S1742">
        <f>IMAGE("https://mitra.stanford.edu/kundaje/oak/projects/neuro-variants/variant_position/credible/roussos_2024/variant_figures/roussos_2024.adolescence.Astrocyte/rs76627340_count_position.png",4,220,900)</f>
        <v/>
      </c>
      <c r="T1742">
        <f>IMAGE("https://mitra.stanford.edu/kundaje/oak/projects/neuro-variants/variant_position/credible/roussos_2024/variant_figures/roussos_2024.adolescence.Astrocyte/rs76627340_profile_position.png",4,220,900)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-0.221168316</v>
      </c>
      <c r="G1743" t="n">
        <v>0.0144220544249757</v>
      </c>
      <c r="H1743" t="n">
        <v>0.0287134698014974</v>
      </c>
      <c r="I1743" t="n">
        <v>0.0370314927721943</v>
      </c>
      <c r="J1743" t="n">
        <v>0.5675844880277719</v>
      </c>
      <c r="K1743" t="n">
        <v>0.0404213792144667</v>
      </c>
      <c r="L1743" t="b">
        <v>1</v>
      </c>
      <c r="M1743" t="b">
        <v>0</v>
      </c>
      <c r="N1743" t="inlineStr">
        <is>
          <t>ref</t>
        </is>
      </c>
      <c r="O1743" t="n">
        <v>-30</v>
      </c>
      <c r="P1743" t="n">
        <v>0.00946</v>
      </c>
      <c r="Q1743" t="n">
        <v>-55</v>
      </c>
      <c r="R1743" t="n">
        <v>0.1733</v>
      </c>
      <c r="S1743">
        <f>IMAGE("https://mitra.stanford.edu/kundaje/oak/projects/neuro-variants/variant_position/credible/roussos_2024/variant_figures/roussos_2024.adolescence.Astrocyte/rs62054846_count_position.png",4,220,900)</f>
        <v/>
      </c>
      <c r="T1743">
        <f>IMAGE("https://mitra.stanford.edu/kundaje/oak/projects/neuro-variants/variant_position/credible/roussos_2024/variant_figures/roussos_2024.adolescence.Astrocyte/rs62054846_profile_position.png",4,220,900)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0.09566343920000001</v>
      </c>
      <c r="G1744" t="n">
        <v>0.0823302917936318</v>
      </c>
      <c r="H1744" t="n">
        <v>0.0149951682360066</v>
      </c>
      <c r="I1744" t="n">
        <v>0.3241035215132731</v>
      </c>
      <c r="J1744" t="n">
        <v>0.1192356763492863</v>
      </c>
      <c r="K1744" t="n">
        <v>0.3079119084876339</v>
      </c>
      <c r="L1744" t="b">
        <v>0</v>
      </c>
      <c r="M1744" t="b">
        <v>0</v>
      </c>
      <c r="N1744" t="inlineStr">
        <is>
          <t>alt</t>
        </is>
      </c>
      <c r="O1744" t="n">
        <v>-10</v>
      </c>
      <c r="P1744" t="n">
        <v>0.00319</v>
      </c>
      <c r="Q1744" t="n">
        <v>-100</v>
      </c>
      <c r="R1744" t="n">
        <v>0.5293</v>
      </c>
      <c r="S1744">
        <f>IMAGE("https://mitra.stanford.edu/kundaje/oak/projects/neuro-variants/variant_position/credible/roussos_2024/variant_figures/roussos_2024.adolescence.Astrocyte/rs56227067_count_position.png",4,220,900)</f>
        <v/>
      </c>
      <c r="T1744">
        <f>IMAGE("https://mitra.stanford.edu/kundaje/oak/projects/neuro-variants/variant_position/credible/roussos_2024/variant_figures/roussos_2024.adolescence.Astrocyte/rs56227067_profile_position.png",4,220,900)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-0.2117784314</v>
      </c>
      <c r="G1745" t="n">
        <v>0.0192306400284662</v>
      </c>
      <c r="H1745" t="n">
        <v>0.0241107740628959</v>
      </c>
      <c r="I1745" t="n">
        <v>0.07443606730741879</v>
      </c>
      <c r="J1745" t="n">
        <v>0.077846927573213</v>
      </c>
      <c r="K1745" t="n">
        <v>0.3807029728584112</v>
      </c>
      <c r="L1745" t="b">
        <v>1</v>
      </c>
      <c r="M1745" t="b">
        <v>0</v>
      </c>
      <c r="N1745" t="inlineStr">
        <is>
          <t>ref</t>
        </is>
      </c>
      <c r="O1745" t="n">
        <v>-90</v>
      </c>
      <c r="P1745" t="n">
        <v>0.00773</v>
      </c>
      <c r="Q1745" t="n">
        <v>-95</v>
      </c>
      <c r="R1745" t="n">
        <v>0.7383</v>
      </c>
      <c r="S1745">
        <f>IMAGE("https://mitra.stanford.edu/kundaje/oak/projects/neuro-variants/variant_position/credible/roussos_2024/variant_figures/roussos_2024.adolescence.Astrocyte/rs55719714_count_position.png",4,220,900)</f>
        <v/>
      </c>
      <c r="T1745">
        <f>IMAGE("https://mitra.stanford.edu/kundaje/oak/projects/neuro-variants/variant_position/credible/roussos_2024/variant_figures/roussos_2024.adolescence.Astrocyte/rs55719714_profile_position.png",4,220,900)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0.06872546234</v>
      </c>
      <c r="G1746" t="n">
        <v>0.1824939573572459</v>
      </c>
      <c r="H1746" t="n">
        <v>0.0165364855904754</v>
      </c>
      <c r="I1746" t="n">
        <v>0.2521692277764299</v>
      </c>
      <c r="J1746" t="n">
        <v>0.0194849123223451</v>
      </c>
      <c r="K1746" t="n">
        <v>0.5725116776442133</v>
      </c>
      <c r="L1746" t="b">
        <v>0</v>
      </c>
      <c r="M1746" t="b">
        <v>0</v>
      </c>
      <c r="N1746" t="inlineStr">
        <is>
          <t>alt</t>
        </is>
      </c>
      <c r="O1746" t="n">
        <v>-15</v>
      </c>
      <c r="P1746" t="n">
        <v>0.004593</v>
      </c>
      <c r="Q1746" t="n">
        <v>25</v>
      </c>
      <c r="R1746" t="n">
        <v>0.0717</v>
      </c>
      <c r="S1746">
        <f>IMAGE("https://mitra.stanford.edu/kundaje/oak/projects/neuro-variants/variant_position/credible/roussos_2024/variant_figures/roussos_2024.adolescence.Astrocyte/rs62054859_count_position.png",4,220,900)</f>
        <v/>
      </c>
      <c r="T1746">
        <f>IMAGE("https://mitra.stanford.edu/kundaje/oak/projects/neuro-variants/variant_position/credible/roussos_2024/variant_figures/roussos_2024.adolescence.Astrocyte/rs62054859_profile_position.png",4,220,900)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0.2130821598</v>
      </c>
      <c r="G1747" t="n">
        <v>0.0239699805055519</v>
      </c>
      <c r="H1747" t="n">
        <v>0.0396215235568548</v>
      </c>
      <c r="I1747" t="n">
        <v>0.0111594212485825</v>
      </c>
      <c r="J1747" t="n">
        <v>0.2330022549921371</v>
      </c>
      <c r="K1747" t="n">
        <v>0.1785444406175848</v>
      </c>
      <c r="L1747" t="b">
        <v>1</v>
      </c>
      <c r="M1747" t="b">
        <v>0</v>
      </c>
      <c r="N1747" t="inlineStr">
        <is>
          <t>alt</t>
        </is>
      </c>
      <c r="O1747" t="n">
        <v>15</v>
      </c>
      <c r="P1747" t="n">
        <v>0.00238</v>
      </c>
      <c r="Q1747" t="n">
        <v>-20</v>
      </c>
      <c r="R1747" t="n">
        <v>0.02393</v>
      </c>
      <c r="S1747">
        <f>IMAGE("https://mitra.stanford.edu/kundaje/oak/projects/neuro-variants/variant_position/credible/roussos_2024/variant_figures/roussos_2024.adolescence.Astrocyte/rs62055469_count_position.png",4,220,900)</f>
        <v/>
      </c>
      <c r="T1747">
        <f>IMAGE("https://mitra.stanford.edu/kundaje/oak/projects/neuro-variants/variant_position/credible/roussos_2024/variant_figures/roussos_2024.adolescence.Astrocyte/rs62055469_profile_position.png",4,220,900)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0.0614356043999999</v>
      </c>
      <c r="G1748" t="n">
        <v>0.1720431920057595</v>
      </c>
      <c r="H1748" t="n">
        <v>0.0116850049158254</v>
      </c>
      <c r="I1748" t="n">
        <v>0.5676751386876803</v>
      </c>
      <c r="J1748" t="n">
        <v>0.1910987152479007</v>
      </c>
      <c r="K1748" t="n">
        <v>0.2158365797514711</v>
      </c>
      <c r="L1748" t="b">
        <v>0</v>
      </c>
      <c r="M1748" t="b">
        <v>0</v>
      </c>
      <c r="N1748" t="inlineStr">
        <is>
          <t>alt</t>
        </is>
      </c>
      <c r="O1748" t="n">
        <v>100</v>
      </c>
      <c r="P1748" t="n">
        <v>0.01965</v>
      </c>
      <c r="Q1748" t="n">
        <v>-100</v>
      </c>
      <c r="R1748" t="n">
        <v>0.04523</v>
      </c>
      <c r="S1748">
        <f>IMAGE("https://mitra.stanford.edu/kundaje/oak/projects/neuro-variants/variant_position/credible/roussos_2024/variant_figures/roussos_2024.adolescence.Astrocyte/rs56327054_count_position.png",4,220,900)</f>
        <v/>
      </c>
      <c r="T1748">
        <f>IMAGE("https://mitra.stanford.edu/kundaje/oak/projects/neuro-variants/variant_position/credible/roussos_2024/variant_figures/roussos_2024.adolescence.Astrocyte/rs56327054_profile_position.png",4,220,900)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0.0248547506</v>
      </c>
      <c r="G1749" t="n">
        <v>0.4843353453711552</v>
      </c>
      <c r="H1749" t="n">
        <v>0.0117342860918444</v>
      </c>
      <c r="I1749" t="n">
        <v>0.5646164094092803</v>
      </c>
      <c r="J1749" t="n">
        <v>0.7446621962436579</v>
      </c>
      <c r="K1749" t="n">
        <v>0.0119174567092107</v>
      </c>
      <c r="L1749" t="b">
        <v>0</v>
      </c>
      <c r="M1749" t="b">
        <v>0</v>
      </c>
      <c r="N1749" t="inlineStr">
        <is>
          <t>alt</t>
        </is>
      </c>
      <c r="O1749" t="n">
        <v>95</v>
      </c>
      <c r="P1749" t="n">
        <v>0.05066</v>
      </c>
      <c r="Q1749" t="n">
        <v>100</v>
      </c>
      <c r="R1749" t="n">
        <v>0.773</v>
      </c>
      <c r="S1749">
        <f>IMAGE("https://mitra.stanford.edu/kundaje/oak/projects/neuro-variants/variant_position/credible/roussos_2024/variant_figures/roussos_2024.adolescence.Astrocyte/rs62055475_count_position.png",4,220,900)</f>
        <v/>
      </c>
      <c r="T1749">
        <f>IMAGE("https://mitra.stanford.edu/kundaje/oak/projects/neuro-variants/variant_position/credible/roussos_2024/variant_figures/roussos_2024.adolescence.Astrocyte/rs62055475_profile_position.png",4,220,900)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0.1450811129999999</v>
      </c>
      <c r="G1750" t="n">
        <v>0.0378533756545291</v>
      </c>
      <c r="H1750" t="n">
        <v>0.0193516182984023</v>
      </c>
      <c r="I1750" t="n">
        <v>0.1573833479423972</v>
      </c>
      <c r="J1750" t="n">
        <v>0.2831328071685012</v>
      </c>
      <c r="K1750" t="n">
        <v>0.1428438687816674</v>
      </c>
      <c r="L1750" t="b">
        <v>0</v>
      </c>
      <c r="M1750" t="b">
        <v>0</v>
      </c>
      <c r="N1750" t="inlineStr">
        <is>
          <t>alt</t>
        </is>
      </c>
      <c r="O1750" t="n">
        <v>10</v>
      </c>
      <c r="P1750" t="n">
        <v>0.0004425</v>
      </c>
      <c r="Q1750" t="n">
        <v>25</v>
      </c>
      <c r="R1750" t="n">
        <v>0.0398</v>
      </c>
      <c r="S1750">
        <f>IMAGE("https://mitra.stanford.edu/kundaje/oak/projects/neuro-variants/variant_position/credible/roussos_2024/variant_figures/roussos_2024.adolescence.Astrocyte/rs56289364_count_position.png",4,220,900)</f>
        <v/>
      </c>
      <c r="T1750">
        <f>IMAGE("https://mitra.stanford.edu/kundaje/oak/projects/neuro-variants/variant_position/credible/roussos_2024/variant_figures/roussos_2024.adolescence.Astrocyte/rs56289364_profile_position.png",4,220,900)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0.04195264</v>
      </c>
      <c r="G1751" t="n">
        <v>0.2879849578200095</v>
      </c>
      <c r="H1751" t="n">
        <v>0.0132102865134123</v>
      </c>
      <c r="I1751" t="n">
        <v>0.4510159879791779</v>
      </c>
      <c r="J1751" t="n">
        <v>0.0846007773788683</v>
      </c>
      <c r="K1751" t="n">
        <v>0.353594099232215</v>
      </c>
      <c r="L1751" t="b">
        <v>0</v>
      </c>
      <c r="M1751" t="b">
        <v>0</v>
      </c>
      <c r="N1751" t="inlineStr">
        <is>
          <t>alt</t>
        </is>
      </c>
      <c r="O1751" t="n">
        <v>-100</v>
      </c>
      <c r="P1751" t="n">
        <v>0.00829</v>
      </c>
      <c r="Q1751" t="n">
        <v>70</v>
      </c>
      <c r="R1751" t="n">
        <v>0.1326</v>
      </c>
      <c r="S1751">
        <f>IMAGE("https://mitra.stanford.edu/kundaje/oak/projects/neuro-variants/variant_position/credible/roussos_2024/variant_figures/roussos_2024.adolescence.Astrocyte/rs34416056_count_position.png",4,220,900)</f>
        <v/>
      </c>
      <c r="T1751">
        <f>IMAGE("https://mitra.stanford.edu/kundaje/oak/projects/neuro-variants/variant_position/credible/roussos_2024/variant_figures/roussos_2024.adolescence.Astrocyte/rs34416056_profile_position.png",4,220,900)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0.328851514</v>
      </c>
      <c r="G1752" t="n">
        <v>0.0046577894448861</v>
      </c>
      <c r="H1752" t="n">
        <v>0.0378583051653718</v>
      </c>
      <c r="I1752" t="n">
        <v>0.0123217176554504</v>
      </c>
      <c r="J1752" t="n">
        <v>0.0066715129216983</v>
      </c>
      <c r="K1752" t="n">
        <v>0.7263605387313758</v>
      </c>
      <c r="L1752" t="b">
        <v>1</v>
      </c>
      <c r="M1752" t="b">
        <v>1</v>
      </c>
      <c r="N1752" t="inlineStr">
        <is>
          <t>alt</t>
        </is>
      </c>
      <c r="O1752" t="n">
        <v>-75</v>
      </c>
      <c r="P1752" t="n">
        <v>0.00978</v>
      </c>
      <c r="Q1752" t="n">
        <v>-30</v>
      </c>
      <c r="R1752" t="n">
        <v>0.0979</v>
      </c>
      <c r="S1752">
        <f>IMAGE("https://mitra.stanford.edu/kundaje/oak/projects/neuro-variants/variant_position/credible/roussos_2024/variant_figures/roussos_2024.adolescence.Astrocyte/rs62055497_count_position.png",4,220,900)</f>
        <v/>
      </c>
      <c r="T1752">
        <f>IMAGE("https://mitra.stanford.edu/kundaje/oak/projects/neuro-variants/variant_position/credible/roussos_2024/variant_figures/roussos_2024.adolescence.Astrocyte/rs62055497_profile_position.png",4,220,900)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-0.0829021048</v>
      </c>
      <c r="G1753" t="n">
        <v>0.1123686144426461</v>
      </c>
      <c r="H1753" t="n">
        <v>0.017223392280304</v>
      </c>
      <c r="I1753" t="n">
        <v>0.2186914101609491</v>
      </c>
      <c r="J1753" t="n">
        <v>0.108110553956621</v>
      </c>
      <c r="K1753" t="n">
        <v>0.3197466894197182</v>
      </c>
      <c r="L1753" t="b">
        <v>0</v>
      </c>
      <c r="M1753" t="b">
        <v>0</v>
      </c>
      <c r="N1753" t="inlineStr">
        <is>
          <t>ref</t>
        </is>
      </c>
      <c r="O1753" t="n">
        <v>60</v>
      </c>
      <c r="P1753" t="n">
        <v>0.008316</v>
      </c>
      <c r="Q1753" t="n">
        <v>-45</v>
      </c>
      <c r="R1753" t="n">
        <v>0.0819</v>
      </c>
      <c r="S1753">
        <f>IMAGE("https://mitra.stanford.edu/kundaje/oak/projects/neuro-variants/variant_position/credible/roussos_2024/variant_figures/roussos_2024.adolescence.Astrocyte/rs55905252_count_position.png",4,220,900)</f>
        <v/>
      </c>
      <c r="T1753">
        <f>IMAGE("https://mitra.stanford.edu/kundaje/oak/projects/neuro-variants/variant_position/credible/roussos_2024/variant_figures/roussos_2024.adolescence.Astrocyte/rs55905252_profile_position.png",4,220,900)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-0.0029775425</v>
      </c>
      <c r="G1754" t="n">
        <v>0.7221239530314251</v>
      </c>
      <c r="H1754" t="n">
        <v>0.0268816686722862</v>
      </c>
      <c r="I1754" t="n">
        <v>0.0478981282278095</v>
      </c>
      <c r="J1754" t="n">
        <v>0.003235617007388</v>
      </c>
      <c r="K1754" t="n">
        <v>0.7918757387330155</v>
      </c>
      <c r="L1754" t="b">
        <v>0</v>
      </c>
      <c r="M1754" t="b">
        <v>0</v>
      </c>
      <c r="N1754" t="inlineStr">
        <is>
          <t>ref</t>
        </is>
      </c>
      <c r="O1754" t="n">
        <v>25</v>
      </c>
      <c r="P1754" t="n">
        <v>0.00296</v>
      </c>
      <c r="Q1754" t="n">
        <v>10</v>
      </c>
      <c r="R1754" t="n">
        <v>0.0065</v>
      </c>
      <c r="S1754">
        <f>IMAGE("https://mitra.stanford.edu/kundaje/oak/projects/neuro-variants/variant_position/credible/roussos_2024/variant_figures/roussos_2024.adolescence.Astrocyte/rs55768605_count_position.png",4,220,900)</f>
        <v/>
      </c>
      <c r="T1754">
        <f>IMAGE("https://mitra.stanford.edu/kundaje/oak/projects/neuro-variants/variant_position/credible/roussos_2024/variant_figures/roussos_2024.adolescence.Astrocyte/rs55768605_profile_position.png",4,220,900)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0.07057633199999989</v>
      </c>
      <c r="G1755" t="n">
        <v>0.1602636446996164</v>
      </c>
      <c r="H1755" t="n">
        <v>0.0138086602378207</v>
      </c>
      <c r="I1755" t="n">
        <v>0.4022279191466113</v>
      </c>
      <c r="J1755" t="n">
        <v>0.064064771682046</v>
      </c>
      <c r="K1755" t="n">
        <v>0.4538533567056184</v>
      </c>
      <c r="L1755" t="b">
        <v>0</v>
      </c>
      <c r="M1755" t="b">
        <v>0</v>
      </c>
      <c r="N1755" t="inlineStr">
        <is>
          <t>alt</t>
        </is>
      </c>
      <c r="O1755" t="n">
        <v>-75</v>
      </c>
      <c r="P1755" t="n">
        <v>0.001392</v>
      </c>
      <c r="Q1755" t="n">
        <v>85</v>
      </c>
      <c r="R1755" t="n">
        <v>0.1486</v>
      </c>
      <c r="S1755">
        <f>IMAGE("https://mitra.stanford.edu/kundaje/oak/projects/neuro-variants/variant_position/credible/roussos_2024/variant_figures/roussos_2024.adolescence.Astrocyte/rs55975673_count_position.png",4,220,900)</f>
        <v/>
      </c>
      <c r="T1755">
        <f>IMAGE("https://mitra.stanford.edu/kundaje/oak/projects/neuro-variants/variant_position/credible/roussos_2024/variant_figures/roussos_2024.adolescence.Astrocyte/rs55975673_profile_position.png",4,220,900)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0.0429408228</v>
      </c>
      <c r="G1756" t="n">
        <v>0.2424140929458509</v>
      </c>
      <c r="H1756" t="n">
        <v>0.0137070594222048</v>
      </c>
      <c r="I1756" t="n">
        <v>0.4136777589962866</v>
      </c>
      <c r="J1756" t="n">
        <v>0.0038683499985163</v>
      </c>
      <c r="K1756" t="n">
        <v>0.7674021750623063</v>
      </c>
      <c r="L1756" t="b">
        <v>0</v>
      </c>
      <c r="M1756" t="b">
        <v>0</v>
      </c>
      <c r="N1756" t="inlineStr">
        <is>
          <t>alt</t>
        </is>
      </c>
      <c r="O1756" t="n">
        <v>-30</v>
      </c>
      <c r="P1756" t="n">
        <v>0.00186</v>
      </c>
      <c r="Q1756" t="n">
        <v>65</v>
      </c>
      <c r="R1756" t="n">
        <v>0.241</v>
      </c>
      <c r="S1756">
        <f>IMAGE("https://mitra.stanford.edu/kundaje/oak/projects/neuro-variants/variant_position/credible/roussos_2024/variant_figures/roussos_2024.adolescence.Astrocyte/rs56194412_count_position.png",4,220,900)</f>
        <v/>
      </c>
      <c r="T1756">
        <f>IMAGE("https://mitra.stanford.edu/kundaje/oak/projects/neuro-variants/variant_position/credible/roussos_2024/variant_figures/roussos_2024.adolescence.Astrocyte/rs56194412_profile_position.png",4,220,900)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-0.111699573</v>
      </c>
      <c r="G1757" t="n">
        <v>0.0650404911541498</v>
      </c>
      <c r="H1757" t="n">
        <v>0.0113799119057155</v>
      </c>
      <c r="I1757" t="n">
        <v>0.6219837138988016</v>
      </c>
      <c r="J1757" t="n">
        <v>0.0124573480105628</v>
      </c>
      <c r="K1757" t="n">
        <v>0.6280780812033161</v>
      </c>
      <c r="L1757" t="b">
        <v>0</v>
      </c>
      <c r="M1757" t="b">
        <v>0</v>
      </c>
      <c r="N1757" t="inlineStr">
        <is>
          <t>ref</t>
        </is>
      </c>
      <c r="O1757" t="n">
        <v>70</v>
      </c>
      <c r="P1757" t="n">
        <v>0.008415000000000001</v>
      </c>
      <c r="Q1757" t="n">
        <v>70</v>
      </c>
      <c r="R1757" t="n">
        <v>0.06396</v>
      </c>
      <c r="S1757">
        <f>IMAGE("https://mitra.stanford.edu/kundaje/oak/projects/neuro-variants/variant_position/credible/roussos_2024/variant_figures/roussos_2024.adolescence.Astrocyte/rs77426526_count_position.png",4,220,900)</f>
        <v/>
      </c>
      <c r="T1757">
        <f>IMAGE("https://mitra.stanford.edu/kundaje/oak/projects/neuro-variants/variant_position/credible/roussos_2024/variant_figures/roussos_2024.adolescence.Astrocyte/rs77426526_profile_position.png",4,220,900)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0.223766366</v>
      </c>
      <c r="G1758" t="n">
        <v>0.0159027763704474</v>
      </c>
      <c r="H1758" t="n">
        <v>0.0381864605056847</v>
      </c>
      <c r="I1758" t="n">
        <v>0.0122682661390691</v>
      </c>
      <c r="J1758" t="n">
        <v>0.0317605257692193</v>
      </c>
      <c r="K1758" t="n">
        <v>0.5053973286124911</v>
      </c>
      <c r="L1758" t="b">
        <v>1</v>
      </c>
      <c r="M1758" t="b">
        <v>0</v>
      </c>
      <c r="N1758" t="inlineStr">
        <is>
          <t>alt</t>
        </is>
      </c>
      <c r="O1758" t="n">
        <v>65</v>
      </c>
      <c r="P1758" t="n">
        <v>0.02933</v>
      </c>
      <c r="Q1758" t="n">
        <v>-70</v>
      </c>
      <c r="R1758" t="n">
        <v>0.1768</v>
      </c>
      <c r="S1758">
        <f>IMAGE("https://mitra.stanford.edu/kundaje/oak/projects/neuro-variants/variant_position/credible/roussos_2024/variant_figures/roussos_2024.adolescence.Astrocyte/rs74863825_count_position.png",4,220,900)</f>
        <v/>
      </c>
      <c r="T1758">
        <f>IMAGE("https://mitra.stanford.edu/kundaje/oak/projects/neuro-variants/variant_position/credible/roussos_2024/variant_figures/roussos_2024.adolescence.Astrocyte/rs74863825_profile_position.png",4,220,900)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0.0135506194</v>
      </c>
      <c r="G1759" t="n">
        <v>0.5611241297693353</v>
      </c>
      <c r="H1759" t="n">
        <v>0.0162152902544943</v>
      </c>
      <c r="I1759" t="n">
        <v>0.2603563003977259</v>
      </c>
      <c r="J1759" t="n">
        <v>0.0002440435569533</v>
      </c>
      <c r="K1759" t="n">
        <v>0.9493542135826808</v>
      </c>
      <c r="L1759" t="b">
        <v>0</v>
      </c>
      <c r="M1759" t="b">
        <v>0</v>
      </c>
      <c r="N1759" t="inlineStr">
        <is>
          <t>alt</t>
        </is>
      </c>
      <c r="O1759" t="n">
        <v>-25</v>
      </c>
      <c r="P1759" t="n">
        <v>0.001299</v>
      </c>
      <c r="Q1759" t="n">
        <v>-90</v>
      </c>
      <c r="R1759" t="n">
        <v>0.1777</v>
      </c>
      <c r="S1759">
        <f>IMAGE("https://mitra.stanford.edu/kundaje/oak/projects/neuro-variants/variant_position/credible/roussos_2024/variant_figures/roussos_2024.adolescence.Astrocyte/rs62055552_count_position.png",4,220,900)</f>
        <v/>
      </c>
      <c r="T1759">
        <f>IMAGE("https://mitra.stanford.edu/kundaje/oak/projects/neuro-variants/variant_position/credible/roussos_2024/variant_figures/roussos_2024.adolescence.Astrocyte/rs62055552_profile_position.png",4,220,900)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-0.08299200899999989</v>
      </c>
      <c r="G1760" t="n">
        <v>0.1121406086792086</v>
      </c>
      <c r="H1760" t="n">
        <v>0.0143192104858324</v>
      </c>
      <c r="I1760" t="n">
        <v>0.3642200319083977</v>
      </c>
      <c r="J1760" t="n">
        <v>0.009251401952348399</v>
      </c>
      <c r="K1760" t="n">
        <v>0.6874692451593225</v>
      </c>
      <c r="L1760" t="b">
        <v>0</v>
      </c>
      <c r="M1760" t="b">
        <v>0</v>
      </c>
      <c r="N1760" t="inlineStr">
        <is>
          <t>ref</t>
        </is>
      </c>
      <c r="O1760" t="n">
        <v>-95</v>
      </c>
      <c r="P1760" t="n">
        <v>0.01578</v>
      </c>
      <c r="Q1760" t="n">
        <v>55</v>
      </c>
      <c r="R1760" t="n">
        <v>0.0707</v>
      </c>
      <c r="S1760">
        <f>IMAGE("https://mitra.stanford.edu/kundaje/oak/projects/neuro-variants/variant_position/credible/roussos_2024/variant_figures/roussos_2024.adolescence.Astrocyte/rs62055558_count_position.png",4,220,900)</f>
        <v/>
      </c>
      <c r="T1760">
        <f>IMAGE("https://mitra.stanford.edu/kundaje/oak/projects/neuro-variants/variant_position/credible/roussos_2024/variant_figures/roussos_2024.adolescence.Astrocyte/rs62055558_profile_position.png",4,220,900)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0.0522793874</v>
      </c>
      <c r="G1761" t="n">
        <v>0.239814851928976</v>
      </c>
      <c r="H1761" t="n">
        <v>0.0187288822664404</v>
      </c>
      <c r="I1761" t="n">
        <v>0.1797233419606915</v>
      </c>
      <c r="J1761" t="n">
        <v>0.0031592143132658</v>
      </c>
      <c r="K1761" t="n">
        <v>0.7939906937829097</v>
      </c>
      <c r="L1761" t="b">
        <v>0</v>
      </c>
      <c r="M1761" t="b">
        <v>0</v>
      </c>
      <c r="N1761" t="inlineStr">
        <is>
          <t>alt</t>
        </is>
      </c>
      <c r="O1761" t="n">
        <v>-40</v>
      </c>
      <c r="P1761" t="n">
        <v>0.0009959999999999999</v>
      </c>
      <c r="Q1761" t="n">
        <v>-35</v>
      </c>
      <c r="R1761" t="n">
        <v>0.0509</v>
      </c>
      <c r="S1761">
        <f>IMAGE("https://mitra.stanford.edu/kundaje/oak/projects/neuro-variants/variant_position/credible/roussos_2024/variant_figures/roussos_2024.adolescence.Astrocyte/rs17691466_count_position.png",4,220,900)</f>
        <v/>
      </c>
      <c r="T1761">
        <f>IMAGE("https://mitra.stanford.edu/kundaje/oak/projects/neuro-variants/variant_position/credible/roussos_2024/variant_figures/roussos_2024.adolescence.Astrocyte/rs17691466_profile_position.png",4,220,900)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-0.00245517422</v>
      </c>
      <c r="G1762" t="n">
        <v>0.8556975664539035</v>
      </c>
      <c r="H1762" t="n">
        <v>0.0293631415127504</v>
      </c>
      <c r="I1762" t="n">
        <v>0.0340323675780764</v>
      </c>
      <c r="J1762" t="n">
        <v>0.0238094531644066</v>
      </c>
      <c r="K1762" t="n">
        <v>0.5661721369127737</v>
      </c>
      <c r="L1762" t="b">
        <v>0</v>
      </c>
      <c r="M1762" t="b">
        <v>0</v>
      </c>
      <c r="N1762" t="inlineStr">
        <is>
          <t>ref</t>
        </is>
      </c>
      <c r="O1762" t="n">
        <v>-65</v>
      </c>
      <c r="P1762" t="n">
        <v>0.03256</v>
      </c>
      <c r="Q1762" t="n">
        <v>-100</v>
      </c>
      <c r="R1762" t="n">
        <v>0.2023</v>
      </c>
      <c r="S1762">
        <f>IMAGE("https://mitra.stanford.edu/kundaje/oak/projects/neuro-variants/variant_position/credible/roussos_2024/variant_figures/roussos_2024.adolescence.Astrocyte/rs55960528_count_position.png",4,220,900)</f>
        <v/>
      </c>
      <c r="T1762">
        <f>IMAGE("https://mitra.stanford.edu/kundaje/oak/projects/neuro-variants/variant_position/credible/roussos_2024/variant_figures/roussos_2024.adolescence.Astrocyte/rs55960528_profile_position.png",4,220,900)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-0.0727042296</v>
      </c>
      <c r="G1763" t="n">
        <v>0.1498621651817157</v>
      </c>
      <c r="H1763" t="n">
        <v>0.0123353798527255</v>
      </c>
      <c r="I1763" t="n">
        <v>0.5241738120904932</v>
      </c>
      <c r="J1763" t="n">
        <v>0.0409295908376108</v>
      </c>
      <c r="K1763" t="n">
        <v>0.4796680720370503</v>
      </c>
      <c r="L1763" t="b">
        <v>0</v>
      </c>
      <c r="M1763" t="b">
        <v>0</v>
      </c>
      <c r="N1763" t="inlineStr">
        <is>
          <t>ref</t>
        </is>
      </c>
      <c r="O1763" t="n">
        <v>-95</v>
      </c>
      <c r="P1763" t="n">
        <v>0.008415000000000001</v>
      </c>
      <c r="Q1763" t="n">
        <v>75</v>
      </c>
      <c r="R1763" t="n">
        <v>0.03595</v>
      </c>
      <c r="S1763">
        <f>IMAGE("https://mitra.stanford.edu/kundaje/oak/projects/neuro-variants/variant_position/credible/roussos_2024/variant_figures/roussos_2024.adolescence.Astrocyte/rs17691556_count_position.png",4,220,900)</f>
        <v/>
      </c>
      <c r="T1763">
        <f>IMAGE("https://mitra.stanford.edu/kundaje/oak/projects/neuro-variants/variant_position/credible/roussos_2024/variant_figures/roussos_2024.adolescence.Astrocyte/rs17691556_profile_position.png",4,220,900)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0.0071109096799999</v>
      </c>
      <c r="G1764" t="n">
        <v>0.7919722263860391</v>
      </c>
      <c r="H1764" t="n">
        <v>0.0328351657474044</v>
      </c>
      <c r="I1764" t="n">
        <v>0.022734961496201</v>
      </c>
      <c r="J1764" t="n">
        <v>0.0055870397294009</v>
      </c>
      <c r="K1764" t="n">
        <v>0.7250124782988255</v>
      </c>
      <c r="L1764" t="b">
        <v>0</v>
      </c>
      <c r="M1764" t="b">
        <v>0</v>
      </c>
      <c r="N1764" t="inlineStr">
        <is>
          <t>alt</t>
        </is>
      </c>
      <c r="O1764" t="n">
        <v>-100</v>
      </c>
      <c r="P1764" t="n">
        <v>0.01413</v>
      </c>
      <c r="Q1764" t="n">
        <v>-70</v>
      </c>
      <c r="R1764" t="n">
        <v>0.1073</v>
      </c>
      <c r="S1764">
        <f>IMAGE("https://mitra.stanford.edu/kundaje/oak/projects/neuro-variants/variant_position/credible/roussos_2024/variant_figures/roussos_2024.adolescence.Astrocyte/rs78729125_count_position.png",4,220,900)</f>
        <v/>
      </c>
      <c r="T1764">
        <f>IMAGE("https://mitra.stanford.edu/kundaje/oak/projects/neuro-variants/variant_position/credible/roussos_2024/variant_figures/roussos_2024.adolescence.Astrocyte/rs78729125_profile_position.png",4,220,900)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0.030787554</v>
      </c>
      <c r="G1765" t="n">
        <v>0.3186483168121788</v>
      </c>
      <c r="H1765" t="n">
        <v>0.0303724544530476</v>
      </c>
      <c r="I1765" t="n">
        <v>0.0330057939722435</v>
      </c>
      <c r="J1765" t="n">
        <v>0.9796835593270627</v>
      </c>
      <c r="K1765" t="n">
        <v>1.118374663582743e-05</v>
      </c>
      <c r="L1765" t="b">
        <v>0</v>
      </c>
      <c r="M1765" t="b">
        <v>0</v>
      </c>
      <c r="N1765" t="inlineStr">
        <is>
          <t>alt</t>
        </is>
      </c>
      <c r="O1765" t="n">
        <v>-25</v>
      </c>
      <c r="P1765" t="n">
        <v>0.01611</v>
      </c>
      <c r="Q1765" t="n">
        <v>-20</v>
      </c>
      <c r="R1765" t="n">
        <v>0.09470000000000001</v>
      </c>
      <c r="S1765">
        <f>IMAGE("https://mitra.stanford.edu/kundaje/oak/projects/neuro-variants/variant_position/credible/roussos_2024/variant_figures/roussos_2024.adolescence.Astrocyte/rs11575895_count_position.png",4,220,900)</f>
        <v/>
      </c>
      <c r="T1765">
        <f>IMAGE("https://mitra.stanford.edu/kundaje/oak/projects/neuro-variants/variant_position/credible/roussos_2024/variant_figures/roussos_2024.adolescence.Astrocyte/rs11575895_profile_position.png",4,220,900)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0.244649162</v>
      </c>
      <c r="G1766" t="n">
        <v>0.0118844263912097</v>
      </c>
      <c r="H1766" t="n">
        <v>0.0411243843820292</v>
      </c>
      <c r="I1766" t="n">
        <v>0.009164568995340201</v>
      </c>
      <c r="J1766" t="n">
        <v>0.8039084057799009</v>
      </c>
      <c r="K1766" t="n">
        <v>0.0076093431667639</v>
      </c>
      <c r="L1766" t="b">
        <v>1</v>
      </c>
      <c r="M1766" t="b">
        <v>1</v>
      </c>
      <c r="N1766" t="inlineStr">
        <is>
          <t>alt</t>
        </is>
      </c>
      <c r="O1766" t="n">
        <v>100</v>
      </c>
      <c r="P1766" t="n">
        <v>0.00589</v>
      </c>
      <c r="Q1766" t="n">
        <v>80</v>
      </c>
      <c r="R1766" t="n">
        <v>0.10785</v>
      </c>
      <c r="S1766">
        <f>IMAGE("https://mitra.stanford.edu/kundaje/oak/projects/neuro-variants/variant_position/credible/roussos_2024/variant_figures/roussos_2024.adolescence.Astrocyte/rs62056781_count_position.png",4,220,900)</f>
        <v/>
      </c>
      <c r="T1766">
        <f>IMAGE("https://mitra.stanford.edu/kundaje/oak/projects/neuro-variants/variant_position/credible/roussos_2024/variant_figures/roussos_2024.adolescence.Astrocyte/rs62056781_profile_position.png",4,220,900)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0.18803279</v>
      </c>
      <c r="G1767" t="n">
        <v>0.0210620093263539</v>
      </c>
      <c r="H1767" t="n">
        <v>0.0726730659214163</v>
      </c>
      <c r="I1767" t="n">
        <v>0.0013082199028835</v>
      </c>
      <c r="J1767" t="n">
        <v>0.7568102246090852</v>
      </c>
      <c r="K1767" t="n">
        <v>0.0118584765203448</v>
      </c>
      <c r="L1767" t="b">
        <v>1</v>
      </c>
      <c r="M1767" t="b">
        <v>1</v>
      </c>
      <c r="N1767" t="inlineStr">
        <is>
          <t>alt</t>
        </is>
      </c>
      <c r="O1767" t="n">
        <v>-80</v>
      </c>
      <c r="P1767" t="n">
        <v>0.00464</v>
      </c>
      <c r="Q1767" t="n">
        <v>-75</v>
      </c>
      <c r="R1767" t="n">
        <v>0.1636</v>
      </c>
      <c r="S1767">
        <f>IMAGE("https://mitra.stanford.edu/kundaje/oak/projects/neuro-variants/variant_position/credible/roussos_2024/variant_figures/roussos_2024.adolescence.Astrocyte/rs62056782_count_position.png",4,220,900)</f>
        <v/>
      </c>
      <c r="T1767">
        <f>IMAGE("https://mitra.stanford.edu/kundaje/oak/projects/neuro-variants/variant_position/credible/roussos_2024/variant_figures/roussos_2024.adolescence.Astrocyte/rs62056782_profile_position.png",4,220,900)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0.2028999067999999</v>
      </c>
      <c r="G1768" t="n">
        <v>0.0176879099968456</v>
      </c>
      <c r="H1768" t="n">
        <v>0.0573177951717778</v>
      </c>
      <c r="I1768" t="n">
        <v>0.0036771557305107</v>
      </c>
      <c r="J1768" t="n">
        <v>0.7527786843901136</v>
      </c>
      <c r="K1768" t="n">
        <v>0.0122260932695539</v>
      </c>
      <c r="L1768" t="b">
        <v>1</v>
      </c>
      <c r="M1768" t="b">
        <v>1</v>
      </c>
      <c r="N1768" t="inlineStr">
        <is>
          <t>alt</t>
        </is>
      </c>
      <c r="O1768" t="n">
        <v>-85</v>
      </c>
      <c r="P1768" t="n">
        <v>0.0006866</v>
      </c>
      <c r="Q1768" t="n">
        <v>30</v>
      </c>
      <c r="R1768" t="n">
        <v>0.05762</v>
      </c>
      <c r="S1768">
        <f>IMAGE("https://mitra.stanford.edu/kundaje/oak/projects/neuro-variants/variant_position/credible/roussos_2024/variant_figures/roussos_2024.adolescence.Astrocyte/rs80346216_count_position.png",4,220,900)</f>
        <v/>
      </c>
      <c r="T1768">
        <f>IMAGE("https://mitra.stanford.edu/kundaje/oak/projects/neuro-variants/variant_position/credible/roussos_2024/variant_figures/roussos_2024.adolescence.Astrocyte/rs80346216_profile_position.png",4,220,900)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0.0149182697999999</v>
      </c>
      <c r="G1769" t="n">
        <v>0.6262665850602186</v>
      </c>
      <c r="H1769" t="n">
        <v>0.0121746054984392</v>
      </c>
      <c r="I1769" t="n">
        <v>0.5398155231574123</v>
      </c>
      <c r="J1769" t="n">
        <v>0.7079125003708869</v>
      </c>
      <c r="K1769" t="n">
        <v>0.0171597876206215</v>
      </c>
      <c r="L1769" t="b">
        <v>0</v>
      </c>
      <c r="M1769" t="b">
        <v>0</v>
      </c>
      <c r="N1769" t="inlineStr">
        <is>
          <t>alt</t>
        </is>
      </c>
      <c r="O1769" t="n">
        <v>-60</v>
      </c>
      <c r="P1769" t="n">
        <v>0.00216</v>
      </c>
      <c r="Q1769" t="n">
        <v>-40</v>
      </c>
      <c r="R1769" t="n">
        <v>0.12305</v>
      </c>
      <c r="S1769">
        <f>IMAGE("https://mitra.stanford.edu/kundaje/oak/projects/neuro-variants/variant_position/credible/roussos_2024/variant_figures/roussos_2024.adolescence.Astrocyte/rs62056783_count_position.png",4,220,900)</f>
        <v/>
      </c>
      <c r="T1769">
        <f>IMAGE("https://mitra.stanford.edu/kundaje/oak/projects/neuro-variants/variant_position/credible/roussos_2024/variant_figures/roussos_2024.adolescence.Astrocyte/rs62056783_profile_position.png",4,220,900)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-0.0461872257999999</v>
      </c>
      <c r="G1770" t="n">
        <v>0.2774224450257433</v>
      </c>
      <c r="H1770" t="n">
        <v>0.0138892080249231</v>
      </c>
      <c r="I1770" t="n">
        <v>0.3934669685419365</v>
      </c>
      <c r="J1770" t="n">
        <v>0.0664332551998338</v>
      </c>
      <c r="K1770" t="n">
        <v>0.3997178649951006</v>
      </c>
      <c r="L1770" t="b">
        <v>0</v>
      </c>
      <c r="M1770" t="b">
        <v>0</v>
      </c>
      <c r="N1770" t="inlineStr">
        <is>
          <t>ref</t>
        </is>
      </c>
      <c r="O1770" t="n">
        <v>-100</v>
      </c>
      <c r="P1770" t="n">
        <v>0.03473</v>
      </c>
      <c r="Q1770" t="n">
        <v>25</v>
      </c>
      <c r="R1770" t="n">
        <v>0.01416</v>
      </c>
      <c r="S1770">
        <f>IMAGE("https://mitra.stanford.edu/kundaje/oak/projects/neuro-variants/variant_position/credible/roussos_2024/variant_figures/roussos_2024.adolescence.Astrocyte/rs62056801_count_position.png",4,220,900)</f>
        <v/>
      </c>
      <c r="T1770">
        <f>IMAGE("https://mitra.stanford.edu/kundaje/oak/projects/neuro-variants/variant_position/credible/roussos_2024/variant_figures/roussos_2024.adolescence.Astrocyte/rs62056801_profile_position.png",4,220,900)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0.0928782638</v>
      </c>
      <c r="G1771" t="n">
        <v>0.09649464999997361</v>
      </c>
      <c r="H1771" t="n">
        <v>0.0152498991730909</v>
      </c>
      <c r="I1771" t="n">
        <v>0.3113600160625141</v>
      </c>
      <c r="J1771" t="n">
        <v>0.5290226389342194</v>
      </c>
      <c r="K1771" t="n">
        <v>0.0488664078828163</v>
      </c>
      <c r="L1771" t="b">
        <v>0</v>
      </c>
      <c r="M1771" t="b">
        <v>0</v>
      </c>
      <c r="N1771" t="inlineStr">
        <is>
          <t>alt</t>
        </is>
      </c>
      <c r="O1771" t="n">
        <v>55</v>
      </c>
      <c r="P1771" t="n">
        <v>0.009549999999999999</v>
      </c>
      <c r="Q1771" t="n">
        <v>10</v>
      </c>
      <c r="R1771" t="n">
        <v>0.01855</v>
      </c>
      <c r="S1771">
        <f>IMAGE("https://mitra.stanford.edu/kundaje/oak/projects/neuro-variants/variant_position/credible/roussos_2024/variant_figures/roussos_2024.adolescence.Astrocyte/rs1984937_count_position.png",4,220,900)</f>
        <v/>
      </c>
      <c r="T1771">
        <f>IMAGE("https://mitra.stanford.edu/kundaje/oak/projects/neuro-variants/variant_position/credible/roussos_2024/variant_figures/roussos_2024.adolescence.Astrocyte/rs1984937_profile_position.png",4,220,900)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-0.06521915519999991</v>
      </c>
      <c r="G1772" t="n">
        <v>0.2028655951438072</v>
      </c>
      <c r="H1772" t="n">
        <v>0.0174930901815639</v>
      </c>
      <c r="I1772" t="n">
        <v>0.2144751764542448</v>
      </c>
      <c r="J1772" t="n">
        <v>0.1662522624098744</v>
      </c>
      <c r="K1772" t="n">
        <v>0.2369068612458264</v>
      </c>
      <c r="L1772" t="b">
        <v>0</v>
      </c>
      <c r="M1772" t="b">
        <v>0</v>
      </c>
      <c r="N1772" t="inlineStr">
        <is>
          <t>ref</t>
        </is>
      </c>
      <c r="O1772" t="n">
        <v>100</v>
      </c>
      <c r="P1772" t="n">
        <v>0.03326</v>
      </c>
      <c r="Q1772" t="n">
        <v>-95</v>
      </c>
      <c r="R1772" t="n">
        <v>0.1664</v>
      </c>
      <c r="S1772">
        <f>IMAGE("https://mitra.stanford.edu/kundaje/oak/projects/neuro-variants/variant_position/credible/roussos_2024/variant_figures/roussos_2024.adolescence.Astrocyte/rs74509629_count_position.png",4,220,900)</f>
        <v/>
      </c>
      <c r="T1772">
        <f>IMAGE("https://mitra.stanford.edu/kundaje/oak/projects/neuro-variants/variant_position/credible/roussos_2024/variant_figures/roussos_2024.adolescence.Astrocyte/rs74509629_profile_position.png",4,220,900)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0.09287492344000001</v>
      </c>
      <c r="G1773" t="n">
        <v>0.09407674892860469</v>
      </c>
      <c r="H1773" t="n">
        <v>0.022448900027791</v>
      </c>
      <c r="I1773" t="n">
        <v>0.0946827639881446</v>
      </c>
      <c r="J1773" t="n">
        <v>0.043789870337952</v>
      </c>
      <c r="K1773" t="n">
        <v>0.4664983158360364</v>
      </c>
      <c r="L1773" t="b">
        <v>0</v>
      </c>
      <c r="M1773" t="b">
        <v>0</v>
      </c>
      <c r="N1773" t="inlineStr">
        <is>
          <t>alt</t>
        </is>
      </c>
      <c r="O1773" t="n">
        <v>-5</v>
      </c>
      <c r="P1773" t="n">
        <v>0.001099</v>
      </c>
      <c r="Q1773" t="n">
        <v>-30</v>
      </c>
      <c r="R1773" t="n">
        <v>0.0762</v>
      </c>
      <c r="S1773">
        <f>IMAGE("https://mitra.stanford.edu/kundaje/oak/projects/neuro-variants/variant_position/credible/roussos_2024/variant_figures/roussos_2024.adolescence.Astrocyte/rs62056838_count_position.png",4,220,900)</f>
        <v/>
      </c>
      <c r="T1773">
        <f>IMAGE("https://mitra.stanford.edu/kundaje/oak/projects/neuro-variants/variant_position/credible/roussos_2024/variant_figures/roussos_2024.adolescence.Astrocyte/rs62056838_profile_position.png",4,220,900)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0.01571908186</v>
      </c>
      <c r="G1774" t="n">
        <v>0.6300121344619449</v>
      </c>
      <c r="H1774" t="n">
        <v>0.0077854822451161</v>
      </c>
      <c r="I1774" t="n">
        <v>0.9364094161156172</v>
      </c>
      <c r="J1774" t="n">
        <v>0.0962443996083434</v>
      </c>
      <c r="K1774" t="n">
        <v>0.3365853434166181</v>
      </c>
      <c r="L1774" t="b">
        <v>0</v>
      </c>
      <c r="M1774" t="b">
        <v>0</v>
      </c>
      <c r="N1774" t="inlineStr">
        <is>
          <t>alt</t>
        </is>
      </c>
      <c r="O1774" t="n">
        <v>100</v>
      </c>
      <c r="P1774" t="n">
        <v>0.02376</v>
      </c>
      <c r="Q1774" t="n">
        <v>100</v>
      </c>
      <c r="R1774" t="n">
        <v>0.2683</v>
      </c>
      <c r="S1774">
        <f>IMAGE("https://mitra.stanford.edu/kundaje/oak/projects/neuro-variants/variant_position/credible/roussos_2024/variant_figures/roussos_2024.adolescence.Astrocyte/rs17564020_count_position.png",4,220,900)</f>
        <v/>
      </c>
      <c r="T1774">
        <f>IMAGE("https://mitra.stanford.edu/kundaje/oak/projects/neuro-variants/variant_position/credible/roussos_2024/variant_figures/roussos_2024.adolescence.Astrocyte/rs17564020_profile_position.png",4,220,900)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0.0060840746</v>
      </c>
      <c r="G1775" t="n">
        <v>0.4771816050241886</v>
      </c>
      <c r="H1775" t="n">
        <v>0.009281266457846301</v>
      </c>
      <c r="I1775" t="n">
        <v>0.822803288238284</v>
      </c>
      <c r="J1775" t="n">
        <v>0.1233235913716879</v>
      </c>
      <c r="K1775" t="n">
        <v>0.2939994255300485</v>
      </c>
      <c r="L1775" t="b">
        <v>0</v>
      </c>
      <c r="M1775" t="b">
        <v>0</v>
      </c>
      <c r="N1775" t="inlineStr">
        <is>
          <t>alt</t>
        </is>
      </c>
      <c r="O1775" t="n">
        <v>100</v>
      </c>
      <c r="P1775" t="n">
        <v>0.07965</v>
      </c>
      <c r="Q1775" t="n">
        <v>0</v>
      </c>
      <c r="R1775" t="n">
        <v>0</v>
      </c>
      <c r="S1775">
        <f>IMAGE("https://mitra.stanford.edu/kundaje/oak/projects/neuro-variants/variant_position/credible/roussos_2024/variant_figures/roussos_2024.adolescence.Astrocyte/rs55682376_count_position.png",4,220,900)</f>
        <v/>
      </c>
      <c r="T1775">
        <f>IMAGE("https://mitra.stanford.edu/kundaje/oak/projects/neuro-variants/variant_position/credible/roussos_2024/variant_figures/roussos_2024.adolescence.Astrocyte/rs55682376_profile_position.png",4,220,900)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0.00749171016</v>
      </c>
      <c r="G1776" t="n">
        <v>0.3610068121909978</v>
      </c>
      <c r="H1776" t="n">
        <v>0.0148063239730125</v>
      </c>
      <c r="I1776" t="n">
        <v>0.3421535117662377</v>
      </c>
      <c r="J1776" t="n">
        <v>0.2274745571610835</v>
      </c>
      <c r="K1776" t="n">
        <v>0.1833439961075253</v>
      </c>
      <c r="L1776" t="b">
        <v>0</v>
      </c>
      <c r="M1776" t="b">
        <v>0</v>
      </c>
      <c r="N1776" t="inlineStr">
        <is>
          <t>alt</t>
        </is>
      </c>
      <c r="O1776" t="n">
        <v>-95</v>
      </c>
      <c r="P1776" t="n">
        <v>0.01363</v>
      </c>
      <c r="Q1776" t="n">
        <v>35</v>
      </c>
      <c r="R1776" t="n">
        <v>0.1045</v>
      </c>
      <c r="S1776">
        <f>IMAGE("https://mitra.stanford.edu/kundaje/oak/projects/neuro-variants/variant_position/credible/roussos_2024/variant_figures/roussos_2024.adolescence.Astrocyte/rs62056848_count_position.png",4,220,900)</f>
        <v/>
      </c>
      <c r="T1776">
        <f>IMAGE("https://mitra.stanford.edu/kundaje/oak/projects/neuro-variants/variant_position/credible/roussos_2024/variant_figures/roussos_2024.adolescence.Astrocyte/rs62056848_profile_position.png",4,220,900)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0.0454958107999999</v>
      </c>
      <c r="G1777" t="n">
        <v>0.1341122335310269</v>
      </c>
      <c r="H1777" t="n">
        <v>0.015560444423206</v>
      </c>
      <c r="I1777" t="n">
        <v>0.2988541600304542</v>
      </c>
      <c r="J1777" t="n">
        <v>0.2388199863513633</v>
      </c>
      <c r="K1777" t="n">
        <v>0.1746866319193439</v>
      </c>
      <c r="L1777" t="b">
        <v>0</v>
      </c>
      <c r="M1777" t="b">
        <v>0</v>
      </c>
      <c r="N1777" t="inlineStr">
        <is>
          <t>alt</t>
        </is>
      </c>
      <c r="O1777" t="n">
        <v>-85</v>
      </c>
      <c r="P1777" t="n">
        <v>0.01457</v>
      </c>
      <c r="Q1777" t="n">
        <v>100</v>
      </c>
      <c r="R1777" t="n">
        <v>0.08400000000000001</v>
      </c>
      <c r="S1777">
        <f>IMAGE("https://mitra.stanford.edu/kundaje/oak/projects/neuro-variants/variant_position/credible/roussos_2024/variant_figures/roussos_2024.adolescence.Astrocyte/rs62056849_count_position.png",4,220,900)</f>
        <v/>
      </c>
      <c r="T1777">
        <f>IMAGE("https://mitra.stanford.edu/kundaje/oak/projects/neuro-variants/variant_position/credible/roussos_2024/variant_figures/roussos_2024.adolescence.Astrocyte/rs62056849_profile_position.png",4,220,900)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-0.0098860291999999</v>
      </c>
      <c r="G1778" t="n">
        <v>0.6599785311719514</v>
      </c>
      <c r="H1778" t="n">
        <v>0.009927238630311501</v>
      </c>
      <c r="I1778" t="n">
        <v>0.7529401669281693</v>
      </c>
      <c r="J1778" t="n">
        <v>0.1895194789781325</v>
      </c>
      <c r="K1778" t="n">
        <v>0.214994356875714</v>
      </c>
      <c r="L1778" t="b">
        <v>0</v>
      </c>
      <c r="M1778" t="b">
        <v>0</v>
      </c>
      <c r="N1778" t="inlineStr">
        <is>
          <t>ref</t>
        </is>
      </c>
      <c r="O1778" t="n">
        <v>-70</v>
      </c>
      <c r="P1778" t="n">
        <v>0.004368</v>
      </c>
      <c r="Q1778" t="n">
        <v>70</v>
      </c>
      <c r="R1778" t="n">
        <v>0.05026</v>
      </c>
      <c r="S1778">
        <f>IMAGE("https://mitra.stanford.edu/kundaje/oak/projects/neuro-variants/variant_position/credible/roussos_2024/variant_figures/roussos_2024.adolescence.Astrocyte/rs17649700_count_position.png",4,220,900)</f>
        <v/>
      </c>
      <c r="T1778">
        <f>IMAGE("https://mitra.stanford.edu/kundaje/oak/projects/neuro-variants/variant_position/credible/roussos_2024/variant_figures/roussos_2024.adolescence.Astrocyte/rs17649700_profile_position.png",4,220,900)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0.1312491979999999</v>
      </c>
      <c r="G1779" t="n">
        <v>0.0476661316110827</v>
      </c>
      <c r="H1779" t="n">
        <v>0.0343386542357448</v>
      </c>
      <c r="I1779" t="n">
        <v>0.020345137588273</v>
      </c>
      <c r="J1779" t="n">
        <v>0.2134060766103907</v>
      </c>
      <c r="K1779" t="n">
        <v>0.1926268412359058</v>
      </c>
      <c r="L1779" t="b">
        <v>0</v>
      </c>
      <c r="M1779" t="b">
        <v>0</v>
      </c>
      <c r="N1779" t="inlineStr">
        <is>
          <t>alt</t>
        </is>
      </c>
      <c r="O1779" t="n">
        <v>80</v>
      </c>
      <c r="P1779" t="n">
        <v>0.003784</v>
      </c>
      <c r="Q1779" t="n">
        <v>65</v>
      </c>
      <c r="R1779" t="n">
        <v>0.07214</v>
      </c>
      <c r="S1779">
        <f>IMAGE("https://mitra.stanford.edu/kundaje/oak/projects/neuro-variants/variant_position/credible/roussos_2024/variant_figures/roussos_2024.adolescence.Astrocyte/rs8079501_count_position.png",4,220,900)</f>
        <v/>
      </c>
      <c r="T1779">
        <f>IMAGE("https://mitra.stanford.edu/kundaje/oak/projects/neuro-variants/variant_position/credible/roussos_2024/variant_figures/roussos_2024.adolescence.Astrocyte/rs8079501_profile_position.png",4,220,900)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0.0209882261999999</v>
      </c>
      <c r="G1780" t="n">
        <v>0.2668516625190387</v>
      </c>
      <c r="H1780" t="n">
        <v>0.0114040861130023</v>
      </c>
      <c r="I1780" t="n">
        <v>0.6158952119704599</v>
      </c>
      <c r="J1780" t="n">
        <v>0.5621324511171113</v>
      </c>
      <c r="K1780" t="n">
        <v>0.0410686327122081</v>
      </c>
      <c r="L1780" t="b">
        <v>0</v>
      </c>
      <c r="M1780" t="b">
        <v>0</v>
      </c>
      <c r="N1780" t="inlineStr">
        <is>
          <t>alt</t>
        </is>
      </c>
      <c r="O1780" t="n">
        <v>-45</v>
      </c>
      <c r="P1780" t="n">
        <v>0.04602</v>
      </c>
      <c r="Q1780" t="n">
        <v>-45</v>
      </c>
      <c r="R1780" t="n">
        <v>0.465</v>
      </c>
      <c r="S1780">
        <f>IMAGE("https://mitra.stanford.edu/kundaje/oak/projects/neuro-variants/variant_position/credible/roussos_2024/variant_figures/roussos_2024.adolescence.Astrocyte/rs55685451_count_position.png",4,220,900)</f>
        <v/>
      </c>
      <c r="T1780">
        <f>IMAGE("https://mitra.stanford.edu/kundaje/oak/projects/neuro-variants/variant_position/credible/roussos_2024/variant_figures/roussos_2024.adolescence.Astrocyte/rs55685451_profile_position.png",4,220,900)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-0.1963396479999999</v>
      </c>
      <c r="G1781" t="n">
        <v>0.0191330806668818</v>
      </c>
      <c r="H1781" t="n">
        <v>0.0418996336675753</v>
      </c>
      <c r="I1781" t="n">
        <v>0.0083817407486923</v>
      </c>
      <c r="J1781" t="n">
        <v>0.0498279084947927</v>
      </c>
      <c r="K1781" t="n">
        <v>0.474402239136766</v>
      </c>
      <c r="L1781" t="b">
        <v>1</v>
      </c>
      <c r="M1781" t="b">
        <v>0</v>
      </c>
      <c r="N1781" t="inlineStr">
        <is>
          <t>ref</t>
        </is>
      </c>
      <c r="O1781" t="n">
        <v>-85</v>
      </c>
      <c r="P1781" t="n">
        <v>0.0105</v>
      </c>
      <c r="Q1781" t="n">
        <v>0</v>
      </c>
      <c r="R1781" t="n">
        <v>0</v>
      </c>
      <c r="S1781">
        <f>IMAGE("https://mitra.stanford.edu/kundaje/oak/projects/neuro-variants/variant_position/credible/roussos_2024/variant_figures/roussos_2024.adolescence.Astrocyte/rs17564780_count_position.png",4,220,900)</f>
        <v/>
      </c>
      <c r="T1781">
        <f>IMAGE("https://mitra.stanford.edu/kundaje/oak/projects/neuro-variants/variant_position/credible/roussos_2024/variant_figures/roussos_2024.adolescence.Astrocyte/rs17564780_profile_position.png",4,220,900)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-0.03345758944</v>
      </c>
      <c r="G1782" t="n">
        <v>0.3764484385738333</v>
      </c>
      <c r="H1782" t="n">
        <v>0.0348874979821177</v>
      </c>
      <c r="I1782" t="n">
        <v>0.0175769299964614</v>
      </c>
      <c r="J1782" t="n">
        <v>0.1033238880811796</v>
      </c>
      <c r="K1782" t="n">
        <v>0.3187392050743692</v>
      </c>
      <c r="L1782" t="b">
        <v>1</v>
      </c>
      <c r="M1782" t="b">
        <v>0</v>
      </c>
      <c r="N1782" t="inlineStr">
        <is>
          <t>ref</t>
        </is>
      </c>
      <c r="O1782" t="n">
        <v>95</v>
      </c>
      <c r="P1782" t="n">
        <v>0.06122</v>
      </c>
      <c r="Q1782" t="n">
        <v>100</v>
      </c>
      <c r="R1782" t="n">
        <v>0.2751</v>
      </c>
      <c r="S1782">
        <f>IMAGE("https://mitra.stanford.edu/kundaje/oak/projects/neuro-variants/variant_position/credible/roussos_2024/variant_figures/roussos_2024.adolescence.Astrocyte/rs62061714_count_position.png",4,220,900)</f>
        <v/>
      </c>
      <c r="T1782">
        <f>IMAGE("https://mitra.stanford.edu/kundaje/oak/projects/neuro-variants/variant_position/credible/roussos_2024/variant_figures/roussos_2024.adolescence.Astrocyte/rs62061714_profile_position.png",4,220,900)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0.0248764083</v>
      </c>
      <c r="G1783" t="n">
        <v>0.4586708792770406</v>
      </c>
      <c r="H1783" t="n">
        <v>0.017854901249947</v>
      </c>
      <c r="I1783" t="n">
        <v>0.2085139888264979</v>
      </c>
      <c r="J1783" t="n">
        <v>0.1655527697831053</v>
      </c>
      <c r="K1783" t="n">
        <v>0.2451984410195801</v>
      </c>
      <c r="L1783" t="b">
        <v>0</v>
      </c>
      <c r="M1783" t="b">
        <v>0</v>
      </c>
      <c r="N1783" t="inlineStr">
        <is>
          <t>alt</t>
        </is>
      </c>
      <c r="O1783" t="n">
        <v>95</v>
      </c>
      <c r="P1783" t="n">
        <v>0.001678</v>
      </c>
      <c r="Q1783" t="n">
        <v>-100</v>
      </c>
      <c r="R1783" t="n">
        <v>0.1335</v>
      </c>
      <c r="S1783">
        <f>IMAGE("https://mitra.stanford.edu/kundaje/oak/projects/neuro-variants/variant_position/credible/roussos_2024/variant_figures/roussos_2024.adolescence.Astrocyte/rs62061716_count_position.png",4,220,900)</f>
        <v/>
      </c>
      <c r="T1783">
        <f>IMAGE("https://mitra.stanford.edu/kundaje/oak/projects/neuro-variants/variant_position/credible/roussos_2024/variant_figures/roussos_2024.adolescence.Astrocyte/rs62061716_profile_position.png",4,220,900)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0.0606505627999999</v>
      </c>
      <c r="G1784" t="n">
        <v>0.2098513791501004</v>
      </c>
      <c r="H1784" t="n">
        <v>0.0134434685827662</v>
      </c>
      <c r="I1784" t="n">
        <v>0.4291556738164434</v>
      </c>
      <c r="J1784" t="n">
        <v>0.3255088567783283</v>
      </c>
      <c r="K1784" t="n">
        <v>0.1212835189139431</v>
      </c>
      <c r="L1784" t="b">
        <v>0</v>
      </c>
      <c r="M1784" t="b">
        <v>0</v>
      </c>
      <c r="N1784" t="inlineStr">
        <is>
          <t>alt</t>
        </is>
      </c>
      <c r="O1784" t="n">
        <v>-100</v>
      </c>
      <c r="P1784" t="n">
        <v>0.02249</v>
      </c>
      <c r="Q1784" t="n">
        <v>-100</v>
      </c>
      <c r="R1784" t="n">
        <v>0.2417</v>
      </c>
      <c r="S1784">
        <f>IMAGE("https://mitra.stanford.edu/kundaje/oak/projects/neuro-variants/variant_position/credible/roussos_2024/variant_figures/roussos_2024.adolescence.Astrocyte/rs77924424_count_position.png",4,220,900)</f>
        <v/>
      </c>
      <c r="T1784">
        <f>IMAGE("https://mitra.stanford.edu/kundaje/oak/projects/neuro-variants/variant_position/credible/roussos_2024/variant_figures/roussos_2024.adolescence.Astrocyte/rs77924424_profile_position.png",4,220,900)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0.23051269</v>
      </c>
      <c r="G1785" t="n">
        <v>0.0122021862456749</v>
      </c>
      <c r="H1785" t="n">
        <v>0.0396987823051095</v>
      </c>
      <c r="I1785" t="n">
        <v>0.0105275144026038</v>
      </c>
      <c r="J1785" t="n">
        <v>0.2679331216805625</v>
      </c>
      <c r="K1785" t="n">
        <v>0.1539063452683858</v>
      </c>
      <c r="L1785" t="b">
        <v>1</v>
      </c>
      <c r="M1785" t="b">
        <v>0</v>
      </c>
      <c r="N1785" t="inlineStr">
        <is>
          <t>alt</t>
        </is>
      </c>
      <c r="O1785" t="n">
        <v>35</v>
      </c>
      <c r="P1785" t="n">
        <v>0.003925</v>
      </c>
      <c r="Q1785" t="n">
        <v>70</v>
      </c>
      <c r="R1785" t="n">
        <v>0.1599</v>
      </c>
      <c r="S1785">
        <f>IMAGE("https://mitra.stanford.edu/kundaje/oak/projects/neuro-variants/variant_position/credible/roussos_2024/variant_figures/roussos_2024.adolescence.Astrocyte/rs62061720_count_position.png",4,220,900)</f>
        <v/>
      </c>
      <c r="T1785">
        <f>IMAGE("https://mitra.stanford.edu/kundaje/oak/projects/neuro-variants/variant_position/credible/roussos_2024/variant_figures/roussos_2024.adolescence.Astrocyte/rs62061720_profile_position.png",4,220,900)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-0.0126951394</v>
      </c>
      <c r="G1786" t="n">
        <v>0.2401785331407872</v>
      </c>
      <c r="H1786" t="n">
        <v>0.0168145239584471</v>
      </c>
      <c r="I1786" t="n">
        <v>0.2373181044349052</v>
      </c>
      <c r="J1786" t="n">
        <v>0.1644052458238138</v>
      </c>
      <c r="K1786" t="n">
        <v>0.2381143482483189</v>
      </c>
      <c r="L1786" t="b">
        <v>0</v>
      </c>
      <c r="M1786" t="b">
        <v>0</v>
      </c>
      <c r="N1786" t="inlineStr">
        <is>
          <t>ref</t>
        </is>
      </c>
      <c r="O1786" t="n">
        <v>-75</v>
      </c>
      <c r="P1786" t="n">
        <v>0.01971</v>
      </c>
      <c r="Q1786" t="n">
        <v>-75</v>
      </c>
      <c r="R1786" t="n">
        <v>0.1648</v>
      </c>
      <c r="S1786">
        <f>IMAGE("https://mitra.stanford.edu/kundaje/oak/projects/neuro-variants/variant_position/credible/roussos_2024/variant_figures/roussos_2024.adolescence.Astrocyte/rs12150460_count_position.png",4,220,900)</f>
        <v/>
      </c>
      <c r="T1786">
        <f>IMAGE("https://mitra.stanford.edu/kundaje/oak/projects/neuro-variants/variant_position/credible/roussos_2024/variant_figures/roussos_2024.adolescence.Astrocyte/rs12150460_profile_position.png",4,220,900)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0.0138709014</v>
      </c>
      <c r="G1787" t="n">
        <v>0.3368693678388803</v>
      </c>
      <c r="H1787" t="n">
        <v>0.0164603386351194</v>
      </c>
      <c r="I1787" t="n">
        <v>0.2516676979914768</v>
      </c>
      <c r="J1787" t="n">
        <v>0.3538668664510578</v>
      </c>
      <c r="K1787" t="n">
        <v>0.1066497955822428</v>
      </c>
      <c r="L1787" t="b">
        <v>0</v>
      </c>
      <c r="M1787" t="b">
        <v>0</v>
      </c>
      <c r="N1787" t="inlineStr">
        <is>
          <t>alt</t>
        </is>
      </c>
      <c r="O1787" t="n">
        <v>-75</v>
      </c>
      <c r="P1787" t="n">
        <v>0.02184</v>
      </c>
      <c r="Q1787" t="n">
        <v>85</v>
      </c>
      <c r="R1787" t="n">
        <v>0.09875</v>
      </c>
      <c r="S1787">
        <f>IMAGE("https://mitra.stanford.edu/kundaje/oak/projects/neuro-variants/variant_position/credible/roussos_2024/variant_figures/roussos_2024.adolescence.Astrocyte/rs62061732_count_position.png",4,220,900)</f>
        <v/>
      </c>
      <c r="T1787">
        <f>IMAGE("https://mitra.stanford.edu/kundaje/oak/projects/neuro-variants/variant_position/credible/roussos_2024/variant_figures/roussos_2024.adolescence.Astrocyte/rs62061732_profile_position.png",4,220,900)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0.0182180998799999</v>
      </c>
      <c r="G1788" t="n">
        <v>0.2579317623563217</v>
      </c>
      <c r="H1788" t="n">
        <v>0.011847970685774</v>
      </c>
      <c r="I1788" t="n">
        <v>0.568572154860093</v>
      </c>
      <c r="J1788" t="n">
        <v>0.6198958549684004</v>
      </c>
      <c r="K1788" t="n">
        <v>0.0301552043134744</v>
      </c>
      <c r="L1788" t="b">
        <v>0</v>
      </c>
      <c r="M1788" t="b">
        <v>0</v>
      </c>
      <c r="N1788" t="inlineStr">
        <is>
          <t>alt</t>
        </is>
      </c>
      <c r="O1788" t="n">
        <v>75</v>
      </c>
      <c r="P1788" t="n">
        <v>0.02216</v>
      </c>
      <c r="Q1788" t="n">
        <v>75</v>
      </c>
      <c r="R1788" t="n">
        <v>0.1084</v>
      </c>
      <c r="S1788">
        <f>IMAGE("https://mitra.stanford.edu/kundaje/oak/projects/neuro-variants/variant_position/credible/roussos_2024/variant_figures/roussos_2024.adolescence.Astrocyte/rs62061733_count_position.png",4,220,900)</f>
        <v/>
      </c>
      <c r="T1788">
        <f>IMAGE("https://mitra.stanford.edu/kundaje/oak/projects/neuro-variants/variant_position/credible/roussos_2024/variant_figures/roussos_2024.adolescence.Astrocyte/rs62061733_profile_position.png",4,220,900)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0.0088477039784</v>
      </c>
      <c r="G1789" t="n">
        <v>0.7113135469791734</v>
      </c>
      <c r="H1789" t="n">
        <v>0.0136586155715681</v>
      </c>
      <c r="I1789" t="n">
        <v>0.4193779524075041</v>
      </c>
      <c r="J1789" t="n">
        <v>0.6822441622407501</v>
      </c>
      <c r="K1789" t="n">
        <v>0.0191842976567749</v>
      </c>
      <c r="L1789" t="b">
        <v>0</v>
      </c>
      <c r="M1789" t="b">
        <v>0</v>
      </c>
      <c r="N1789" t="inlineStr">
        <is>
          <t>alt</t>
        </is>
      </c>
      <c r="O1789" t="n">
        <v>95</v>
      </c>
      <c r="P1789" t="n">
        <v>0.01974</v>
      </c>
      <c r="Q1789" t="n">
        <v>100</v>
      </c>
      <c r="R1789" t="n">
        <v>0.3518</v>
      </c>
      <c r="S1789">
        <f>IMAGE("https://mitra.stanford.edu/kundaje/oak/projects/neuro-variants/variant_position/credible/roussos_2024/variant_figures/roussos_2024.adolescence.Astrocyte/rs62062770_count_position.png",4,220,900)</f>
        <v/>
      </c>
      <c r="T1789">
        <f>IMAGE("https://mitra.stanford.edu/kundaje/oak/projects/neuro-variants/variant_position/credible/roussos_2024/variant_figures/roussos_2024.adolescence.Astrocyte/rs62062770_profile_position.png",4,220,900)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0.01155089658</v>
      </c>
      <c r="G1790" t="n">
        <v>0.7052682730630636</v>
      </c>
      <c r="H1790" t="n">
        <v>0.0081816214795058</v>
      </c>
      <c r="I1790" t="n">
        <v>0.9044669034124206</v>
      </c>
      <c r="J1790" t="n">
        <v>0.6177157819778654</v>
      </c>
      <c r="K1790" t="n">
        <v>0.0296156338041022</v>
      </c>
      <c r="L1790" t="b">
        <v>0</v>
      </c>
      <c r="M1790" t="b">
        <v>0</v>
      </c>
      <c r="N1790" t="inlineStr">
        <is>
          <t>alt</t>
        </is>
      </c>
      <c r="O1790" t="n">
        <v>-95</v>
      </c>
      <c r="P1790" t="n">
        <v>0.01813</v>
      </c>
      <c r="Q1790" t="n">
        <v>-100</v>
      </c>
      <c r="R1790" t="n">
        <v>0.03232</v>
      </c>
      <c r="S1790">
        <f>IMAGE("https://mitra.stanford.edu/kundaje/oak/projects/neuro-variants/variant_position/credible/roussos_2024/variant_figures/roussos_2024.adolescence.Astrocyte/rs62062772_count_position.png",4,220,900)</f>
        <v/>
      </c>
      <c r="T1790">
        <f>IMAGE("https://mitra.stanford.edu/kundaje/oak/projects/neuro-variants/variant_position/credible/roussos_2024/variant_figures/roussos_2024.adolescence.Astrocyte/rs62062772_profile_position.png",4,220,900)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-0.0755470137999999</v>
      </c>
      <c r="G1791" t="n">
        <v>0.1368704979049483</v>
      </c>
      <c r="H1791" t="n">
        <v>0.0144774648059589</v>
      </c>
      <c r="I1791" t="n">
        <v>0.3558810839376399</v>
      </c>
      <c r="J1791" t="n">
        <v>0.0195479630893391</v>
      </c>
      <c r="K1791" t="n">
        <v>0.5971369267086364</v>
      </c>
      <c r="L1791" t="b">
        <v>0</v>
      </c>
      <c r="M1791" t="b">
        <v>0</v>
      </c>
      <c r="N1791" t="inlineStr">
        <is>
          <t>ref</t>
        </is>
      </c>
      <c r="O1791" t="n">
        <v>-20</v>
      </c>
      <c r="P1791" t="n">
        <v>0.0003514</v>
      </c>
      <c r="Q1791" t="n">
        <v>-85</v>
      </c>
      <c r="R1791" t="n">
        <v>0.1748</v>
      </c>
      <c r="S1791">
        <f>IMAGE("https://mitra.stanford.edu/kundaje/oak/projects/neuro-variants/variant_position/credible/roussos_2024/variant_figures/roussos_2024.adolescence.Astrocyte/rs75839508_count_position.png",4,220,900)</f>
        <v/>
      </c>
      <c r="T1791">
        <f>IMAGE("https://mitra.stanford.edu/kundaje/oak/projects/neuro-variants/variant_position/credible/roussos_2024/variant_figures/roussos_2024.adolescence.Astrocyte/rs75839508_profile_position.png",4,220,900)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-0.102839437</v>
      </c>
      <c r="G1792" t="n">
        <v>0.082171279254299</v>
      </c>
      <c r="H1792" t="n">
        <v>0.0218179154690172</v>
      </c>
      <c r="I1792" t="n">
        <v>0.1021995643870588</v>
      </c>
      <c r="J1792" t="n">
        <v>0.5335044358069015</v>
      </c>
      <c r="K1792" t="n">
        <v>0.0463857895982173</v>
      </c>
      <c r="L1792" t="b">
        <v>0</v>
      </c>
      <c r="M1792" t="b">
        <v>0</v>
      </c>
      <c r="N1792" t="inlineStr">
        <is>
          <t>ref</t>
        </is>
      </c>
      <c r="O1792" t="n">
        <v>-100</v>
      </c>
      <c r="P1792" t="n">
        <v>0.03784</v>
      </c>
      <c r="Q1792" t="n">
        <v>-100</v>
      </c>
      <c r="R1792" t="n">
        <v>0.436</v>
      </c>
      <c r="S1792">
        <f>IMAGE("https://mitra.stanford.edu/kundaje/oak/projects/neuro-variants/variant_position/credible/roussos_2024/variant_figures/roussos_2024.adolescence.Astrocyte/rs62062785_count_position.png",4,220,900)</f>
        <v/>
      </c>
      <c r="T1792">
        <f>IMAGE("https://mitra.stanford.edu/kundaje/oak/projects/neuro-variants/variant_position/credible/roussos_2024/variant_figures/roussos_2024.adolescence.Astrocyte/rs62062785_profile_position.png",4,220,900)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-0.08953090919999999</v>
      </c>
      <c r="G1793" t="n">
        <v>0.1051186397516593</v>
      </c>
      <c r="H1793" t="n">
        <v>0.0200503778353641</v>
      </c>
      <c r="I1793" t="n">
        <v>0.1385867448190492</v>
      </c>
      <c r="J1793" t="n">
        <v>0.4621012966204788</v>
      </c>
      <c r="K1793" t="n">
        <v>0.06598383821349491</v>
      </c>
      <c r="L1793" t="b">
        <v>0</v>
      </c>
      <c r="M1793" t="b">
        <v>0</v>
      </c>
      <c r="N1793" t="inlineStr">
        <is>
          <t>ref</t>
        </is>
      </c>
      <c r="O1793" t="n">
        <v>-20</v>
      </c>
      <c r="P1793" t="n">
        <v>0.00415</v>
      </c>
      <c r="Q1793" t="n">
        <v>-100</v>
      </c>
      <c r="R1793" t="n">
        <v>0.3127</v>
      </c>
      <c r="S1793">
        <f>IMAGE("https://mitra.stanford.edu/kundaje/oak/projects/neuro-variants/variant_position/credible/roussos_2024/variant_figures/roussos_2024.adolescence.Astrocyte/rs62062786_count_position.png",4,220,900)</f>
        <v/>
      </c>
      <c r="T1793">
        <f>IMAGE("https://mitra.stanford.edu/kundaje/oak/projects/neuro-variants/variant_position/credible/roussos_2024/variant_figures/roussos_2024.adolescence.Astrocyte/rs62062786_profile_position.png",4,220,900)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-0.0006352135199999001</v>
      </c>
      <c r="G1794" t="n">
        <v>0.3465862642612203</v>
      </c>
      <c r="H1794" t="n">
        <v>0.0142920128901462</v>
      </c>
      <c r="I1794" t="n">
        <v>0.363995077211875</v>
      </c>
      <c r="J1794" t="n">
        <v>0.678376554015963</v>
      </c>
      <c r="K1794" t="n">
        <v>0.0205730524315688</v>
      </c>
      <c r="L1794" t="b">
        <v>0</v>
      </c>
      <c r="M1794" t="b">
        <v>0</v>
      </c>
      <c r="N1794" t="inlineStr">
        <is>
          <t>ref</t>
        </is>
      </c>
      <c r="O1794" t="n">
        <v>-10</v>
      </c>
      <c r="P1794" t="n">
        <v>0.000977</v>
      </c>
      <c r="Q1794" t="n">
        <v>95</v>
      </c>
      <c r="R1794" t="n">
        <v>0.01221</v>
      </c>
      <c r="S1794">
        <f>IMAGE("https://mitra.stanford.edu/kundaje/oak/projects/neuro-variants/variant_position/credible/roussos_2024/variant_figures/roussos_2024.adolescence.Astrocyte/rs242561_count_position.png",4,220,900)</f>
        <v/>
      </c>
      <c r="T1794">
        <f>IMAGE("https://mitra.stanford.edu/kundaje/oak/projects/neuro-variants/variant_position/credible/roussos_2024/variant_figures/roussos_2024.adolescence.Astrocyte/rs242561_profile_position.png",4,220,900)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-0.084243138</v>
      </c>
      <c r="G1795" t="n">
        <v>0.1107777547639804</v>
      </c>
      <c r="H1795" t="n">
        <v>0.0130317373233248</v>
      </c>
      <c r="I1795" t="n">
        <v>0.4525987478286766</v>
      </c>
      <c r="J1795" t="n">
        <v>0.4056790196718393</v>
      </c>
      <c r="K1795" t="n">
        <v>0.0852777728163189</v>
      </c>
      <c r="L1795" t="b">
        <v>0</v>
      </c>
      <c r="M1795" t="b">
        <v>0</v>
      </c>
      <c r="N1795" t="inlineStr">
        <is>
          <t>ref</t>
        </is>
      </c>
      <c r="O1795" t="n">
        <v>60</v>
      </c>
      <c r="P1795" t="n">
        <v>0.005325</v>
      </c>
      <c r="Q1795" t="n">
        <v>-100</v>
      </c>
      <c r="R1795" t="n">
        <v>0.1836</v>
      </c>
      <c r="S1795">
        <f>IMAGE("https://mitra.stanford.edu/kundaje/oak/projects/neuro-variants/variant_position/credible/roussos_2024/variant_figures/roussos_2024.adolescence.Astrocyte/rs62062795_count_position.png",4,220,900)</f>
        <v/>
      </c>
      <c r="T1795">
        <f>IMAGE("https://mitra.stanford.edu/kundaje/oak/projects/neuro-variants/variant_position/credible/roussos_2024/variant_figures/roussos_2024.adolescence.Astrocyte/rs62062795_profile_position.png",4,220,900)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0.1161356806</v>
      </c>
      <c r="G1796" t="n">
        <v>0.06735109703551791</v>
      </c>
      <c r="H1796" t="n">
        <v>0.0165534335401182</v>
      </c>
      <c r="I1796" t="n">
        <v>0.246115118302165</v>
      </c>
      <c r="J1796" t="n">
        <v>0.1850465833902025</v>
      </c>
      <c r="K1796" t="n">
        <v>0.2171104117526655</v>
      </c>
      <c r="L1796" t="b">
        <v>0</v>
      </c>
      <c r="M1796" t="b">
        <v>0</v>
      </c>
      <c r="N1796" t="inlineStr">
        <is>
          <t>alt</t>
        </is>
      </c>
      <c r="O1796" t="n">
        <v>90</v>
      </c>
      <c r="P1796" t="n">
        <v>0.00534</v>
      </c>
      <c r="Q1796" t="n">
        <v>25</v>
      </c>
      <c r="R1796" t="n">
        <v>0.0148</v>
      </c>
      <c r="S1796">
        <f>IMAGE("https://mitra.stanford.edu/kundaje/oak/projects/neuro-variants/variant_position/credible/roussos_2024/variant_figures/roussos_2024.adolescence.Astrocyte/rs62062798_count_position.png",4,220,900)</f>
        <v/>
      </c>
      <c r="T1796">
        <f>IMAGE("https://mitra.stanford.edu/kundaje/oak/projects/neuro-variants/variant_position/credible/roussos_2024/variant_figures/roussos_2024.adolescence.Astrocyte/rs62062798_profile_position.png",4,220,900)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-0.000891429488</v>
      </c>
      <c r="G1797" t="n">
        <v>0.8625063312968055</v>
      </c>
      <c r="H1797" t="n">
        <v>0.0402218596998392</v>
      </c>
      <c r="I1797" t="n">
        <v>0.009525895805931999</v>
      </c>
      <c r="J1797" t="n">
        <v>0.0604330475031896</v>
      </c>
      <c r="K1797" t="n">
        <v>0.4179526892797576</v>
      </c>
      <c r="L1797" t="b">
        <v>1</v>
      </c>
      <c r="M1797" t="b">
        <v>1</v>
      </c>
      <c r="N1797" t="inlineStr">
        <is>
          <t>ref</t>
        </is>
      </c>
      <c r="O1797" t="n">
        <v>80</v>
      </c>
      <c r="P1797" t="n">
        <v>0.01282</v>
      </c>
      <c r="Q1797" t="n">
        <v>-70</v>
      </c>
      <c r="R1797" t="n">
        <v>0.03104</v>
      </c>
      <c r="S1797">
        <f>IMAGE("https://mitra.stanford.edu/kundaje/oak/projects/neuro-variants/variant_position/credible/roussos_2024/variant_figures/roussos_2024.adolescence.Astrocyte/rs62062801_count_position.png",4,220,900)</f>
        <v/>
      </c>
      <c r="T1797">
        <f>IMAGE("https://mitra.stanford.edu/kundaje/oak/projects/neuro-variants/variant_position/credible/roussos_2024/variant_figures/roussos_2024.adolescence.Astrocyte/rs62062801_profile_position.png",4,220,900)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0.00633696162</v>
      </c>
      <c r="G1798" t="n">
        <v>0.7448595417471828</v>
      </c>
      <c r="H1798" t="n">
        <v>0.0462992624367498</v>
      </c>
      <c r="I1798" t="n">
        <v>0.0055070498205272</v>
      </c>
      <c r="J1798" t="n">
        <v>0.064027682995579</v>
      </c>
      <c r="K1798" t="n">
        <v>0.4078234998976097</v>
      </c>
      <c r="L1798" t="b">
        <v>1</v>
      </c>
      <c r="M1798" t="b">
        <v>1</v>
      </c>
      <c r="N1798" t="inlineStr">
        <is>
          <t>alt</t>
        </is>
      </c>
      <c r="O1798" t="n">
        <v>45</v>
      </c>
      <c r="P1798" t="n">
        <v>0.01001</v>
      </c>
      <c r="Q1798" t="n">
        <v>-100</v>
      </c>
      <c r="R1798" t="n">
        <v>0.1144</v>
      </c>
      <c r="S1798">
        <f>IMAGE("https://mitra.stanford.edu/kundaje/oak/projects/neuro-variants/variant_position/credible/roussos_2024/variant_figures/roussos_2024.adolescence.Astrocyte/rs62062802_count_position.png",4,220,900)</f>
        <v/>
      </c>
      <c r="T1798">
        <f>IMAGE("https://mitra.stanford.edu/kundaje/oak/projects/neuro-variants/variant_position/credible/roussos_2024/variant_figures/roussos_2024.adolescence.Astrocyte/rs62062802_profile_position.png",4,220,900)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0.0867646313999999</v>
      </c>
      <c r="G1799" t="n">
        <v>0.09993197631905811</v>
      </c>
      <c r="H1799" t="n">
        <v>0.0199373249521215</v>
      </c>
      <c r="I1799" t="n">
        <v>0.1400222075954459</v>
      </c>
      <c r="J1799" t="n">
        <v>0.2558837492211375</v>
      </c>
      <c r="K1799" t="n">
        <v>0.16302022673997</v>
      </c>
      <c r="L1799" t="b">
        <v>0</v>
      </c>
      <c r="M1799" t="b">
        <v>0</v>
      </c>
      <c r="N1799" t="inlineStr">
        <is>
          <t>alt</t>
        </is>
      </c>
      <c r="O1799" t="n">
        <v>100</v>
      </c>
      <c r="P1799" t="n">
        <v>0.009544</v>
      </c>
      <c r="Q1799" t="n">
        <v>80</v>
      </c>
      <c r="R1799" t="n">
        <v>0.1276</v>
      </c>
      <c r="S1799">
        <f>IMAGE("https://mitra.stanford.edu/kundaje/oak/projects/neuro-variants/variant_position/credible/roussos_2024/variant_figures/roussos_2024.adolescence.Astrocyte/rs62063262_count_position.png",4,220,900)</f>
        <v/>
      </c>
      <c r="T1799">
        <f>IMAGE("https://mitra.stanford.edu/kundaje/oak/projects/neuro-variants/variant_position/credible/roussos_2024/variant_figures/roussos_2024.adolescence.Astrocyte/rs62063262_profile_position.png",4,220,900)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0.0544081325</v>
      </c>
      <c r="G1800" t="n">
        <v>0.2105454144539444</v>
      </c>
      <c r="H1800" t="n">
        <v>0.0140536376782005</v>
      </c>
      <c r="I1800" t="n">
        <v>0.3751482703799899</v>
      </c>
      <c r="J1800" t="n">
        <v>0.0008307865768625</v>
      </c>
      <c r="K1800" t="n">
        <v>0.895705780039773</v>
      </c>
      <c r="L1800" t="b">
        <v>0</v>
      </c>
      <c r="M1800" t="b">
        <v>0</v>
      </c>
      <c r="N1800" t="inlineStr">
        <is>
          <t>alt</t>
        </is>
      </c>
      <c r="O1800" t="n">
        <v>75</v>
      </c>
      <c r="P1800" t="n">
        <v>0.0004768</v>
      </c>
      <c r="Q1800" t="n">
        <v>100</v>
      </c>
      <c r="R1800" t="n">
        <v>0.08746</v>
      </c>
      <c r="S1800">
        <f>IMAGE("https://mitra.stanford.edu/kundaje/oak/projects/neuro-variants/variant_position/credible/roussos_2024/variant_figures/roussos_2024.adolescence.Astrocyte/rs62063269_count_position.png",4,220,900)</f>
        <v/>
      </c>
      <c r="T1800">
        <f>IMAGE("https://mitra.stanford.edu/kundaje/oak/projects/neuro-variants/variant_position/credible/roussos_2024/variant_figures/roussos_2024.adolescence.Astrocyte/rs62063269_profile_position.png",4,220,900)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0.08340208639999989</v>
      </c>
      <c r="G1801" t="n">
        <v>0.1253928571762395</v>
      </c>
      <c r="H1801" t="n">
        <v>0.018209304255641</v>
      </c>
      <c r="I1801" t="n">
        <v>0.1833162723891999</v>
      </c>
      <c r="J1801" t="n">
        <v>0.0010800225499213</v>
      </c>
      <c r="K1801" t="n">
        <v>0.8770145259023039</v>
      </c>
      <c r="L1801" t="b">
        <v>0</v>
      </c>
      <c r="M1801" t="b">
        <v>0</v>
      </c>
      <c r="N1801" t="inlineStr">
        <is>
          <t>alt</t>
        </is>
      </c>
      <c r="O1801" t="n">
        <v>95</v>
      </c>
      <c r="P1801" t="n">
        <v>0.00662</v>
      </c>
      <c r="Q1801" t="n">
        <v>95</v>
      </c>
      <c r="R1801" t="n">
        <v>0.1868</v>
      </c>
      <c r="S1801">
        <f>IMAGE("https://mitra.stanford.edu/kundaje/oak/projects/neuro-variants/variant_position/credible/roussos_2024/variant_figures/roussos_2024.adolescence.Astrocyte/rs17571809_count_position.png",4,220,900)</f>
        <v/>
      </c>
      <c r="T1801">
        <f>IMAGE("https://mitra.stanford.edu/kundaje/oak/projects/neuro-variants/variant_position/credible/roussos_2024/variant_figures/roussos_2024.adolescence.Astrocyte/rs17571809_profile_position.png",4,220,900)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0.0131125509</v>
      </c>
      <c r="G1802" t="n">
        <v>0.6540850059736741</v>
      </c>
      <c r="H1802" t="n">
        <v>0.0214942060835745</v>
      </c>
      <c r="I1802" t="n">
        <v>0.1079645241092631</v>
      </c>
      <c r="J1802" t="n">
        <v>0.0028825327122214</v>
      </c>
      <c r="K1802" t="n">
        <v>0.8102570340446147</v>
      </c>
      <c r="L1802" t="b">
        <v>0</v>
      </c>
      <c r="M1802" t="b">
        <v>0</v>
      </c>
      <c r="N1802" t="inlineStr">
        <is>
          <t>alt</t>
        </is>
      </c>
      <c r="O1802" t="n">
        <v>-100</v>
      </c>
      <c r="P1802" t="n">
        <v>0.001724</v>
      </c>
      <c r="Q1802" t="n">
        <v>40</v>
      </c>
      <c r="R1802" t="n">
        <v>0.06714000000000001</v>
      </c>
      <c r="S1802">
        <f>IMAGE("https://mitra.stanford.edu/kundaje/oak/projects/neuro-variants/variant_position/credible/roussos_2024/variant_figures/roussos_2024.adolescence.Astrocyte/rs77555455_count_position.png",4,220,900)</f>
        <v/>
      </c>
      <c r="T1802">
        <f>IMAGE("https://mitra.stanford.edu/kundaje/oak/projects/neuro-variants/variant_position/credible/roussos_2024/variant_figures/roussos_2024.adolescence.Astrocyte/rs77555455_profile_position.png",4,220,900)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-0.0818244446</v>
      </c>
      <c r="G1803" t="n">
        <v>0.1131238387991098</v>
      </c>
      <c r="H1803" t="n">
        <v>0.0128821198696258</v>
      </c>
      <c r="I1803" t="n">
        <v>0.4788108774096421</v>
      </c>
      <c r="J1803" t="n">
        <v>0.2498138147939352</v>
      </c>
      <c r="K1803" t="n">
        <v>0.1676519310449842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0.02611</v>
      </c>
      <c r="Q1803" t="n">
        <v>-50</v>
      </c>
      <c r="R1803" t="n">
        <v>0.08</v>
      </c>
      <c r="S1803">
        <f>IMAGE("https://mitra.stanford.edu/kundaje/oak/projects/neuro-variants/variant_position/credible/roussos_2024/variant_figures/roussos_2024.adolescence.Astrocyte/rs55711941_count_position.png",4,220,900)</f>
        <v/>
      </c>
      <c r="T1803">
        <f>IMAGE("https://mitra.stanford.edu/kundaje/oak/projects/neuro-variants/variant_position/credible/roussos_2024/variant_figures/roussos_2024.adolescence.Astrocyte/rs55711941_profile_position.png",4,220,900)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0.0475411632</v>
      </c>
      <c r="G1804" t="n">
        <v>0.2128607002270284</v>
      </c>
      <c r="H1804" t="n">
        <v>0.0183870063389234</v>
      </c>
      <c r="I1804" t="n">
        <v>0.1837826075695176</v>
      </c>
      <c r="J1804" t="n">
        <v>0.2884513248078805</v>
      </c>
      <c r="K1804" t="n">
        <v>0.1403020176990364</v>
      </c>
      <c r="L1804" t="b">
        <v>0</v>
      </c>
      <c r="M1804" t="b">
        <v>0</v>
      </c>
      <c r="N1804" t="inlineStr">
        <is>
          <t>alt</t>
        </is>
      </c>
      <c r="O1804" t="n">
        <v>10</v>
      </c>
      <c r="P1804" t="n">
        <v>0.002258</v>
      </c>
      <c r="Q1804" t="n">
        <v>-100</v>
      </c>
      <c r="R1804" t="n">
        <v>0.05872</v>
      </c>
      <c r="S1804">
        <f>IMAGE("https://mitra.stanford.edu/kundaje/oak/projects/neuro-variants/variant_position/credible/roussos_2024/variant_figures/roussos_2024.adolescence.Astrocyte/rs55709241_count_position.png",4,220,900)</f>
        <v/>
      </c>
      <c r="T1804">
        <f>IMAGE("https://mitra.stanford.edu/kundaje/oak/projects/neuro-variants/variant_position/credible/roussos_2024/variant_figures/roussos_2024.adolescence.Astrocyte/rs55709241_profile_position.png",4,220,900)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0.0400657534</v>
      </c>
      <c r="G1805" t="n">
        <v>0.3131995526150198</v>
      </c>
      <c r="H1805" t="n">
        <v>0.0547608568928342</v>
      </c>
      <c r="I1805" t="n">
        <v>0.0027345419854078</v>
      </c>
      <c r="J1805" t="n">
        <v>0.1381798356229415</v>
      </c>
      <c r="K1805" t="n">
        <v>0.276965989629052</v>
      </c>
      <c r="L1805" t="b">
        <v>1</v>
      </c>
      <c r="M1805" t="b">
        <v>1</v>
      </c>
      <c r="N1805" t="inlineStr">
        <is>
          <t>alt</t>
        </is>
      </c>
      <c r="O1805" t="n">
        <v>-95</v>
      </c>
      <c r="P1805" t="n">
        <v>0.00528</v>
      </c>
      <c r="Q1805" t="n">
        <v>-100</v>
      </c>
      <c r="R1805" t="n">
        <v>0.2566</v>
      </c>
      <c r="S1805">
        <f>IMAGE("https://mitra.stanford.edu/kundaje/oak/projects/neuro-variants/variant_position/credible/roussos_2024/variant_figures/roussos_2024.adolescence.Astrocyte/rs112058117_count_position.png",4,220,900)</f>
        <v/>
      </c>
      <c r="T1805">
        <f>IMAGE("https://mitra.stanford.edu/kundaje/oak/projects/neuro-variants/variant_position/credible/roussos_2024/variant_figures/roussos_2024.adolescence.Astrocyte/rs112058117_profile_position.png",4,220,900)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-0.14340725</v>
      </c>
      <c r="G1806" t="n">
        <v>0.049439489489627</v>
      </c>
      <c r="H1806" t="n">
        <v>0.0293764640110439</v>
      </c>
      <c r="I1806" t="n">
        <v>0.0367803738960716</v>
      </c>
      <c r="J1806" t="n">
        <v>0.06337788920867569</v>
      </c>
      <c r="K1806" t="n">
        <v>0.4077815939868474</v>
      </c>
      <c r="L1806" t="b">
        <v>0</v>
      </c>
      <c r="M1806" t="b">
        <v>0</v>
      </c>
      <c r="N1806" t="inlineStr">
        <is>
          <t>ref</t>
        </is>
      </c>
      <c r="O1806" t="n">
        <v>100</v>
      </c>
      <c r="P1806" t="n">
        <v>0.006275</v>
      </c>
      <c r="Q1806" t="n">
        <v>-80</v>
      </c>
      <c r="R1806" t="n">
        <v>0.01953</v>
      </c>
      <c r="S1806">
        <f>IMAGE("https://mitra.stanford.edu/kundaje/oak/projects/neuro-variants/variant_position/credible/roussos_2024/variant_figures/roussos_2024.adolescence.Astrocyte/rs62063291_count_position.png",4,220,900)</f>
        <v/>
      </c>
      <c r="T1806">
        <f>IMAGE("https://mitra.stanford.edu/kundaje/oak/projects/neuro-variants/variant_position/credible/roussos_2024/variant_figures/roussos_2024.adolescence.Astrocyte/rs62063291_profile_position.png",4,220,900)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0.1231935221999999</v>
      </c>
      <c r="G1807" t="n">
        <v>0.0620278001528816</v>
      </c>
      <c r="H1807" t="n">
        <v>0.0204318628423873</v>
      </c>
      <c r="I1807" t="n">
        <v>0.1306268944006596</v>
      </c>
      <c r="J1807" t="n">
        <v>0.0231388897130818</v>
      </c>
      <c r="K1807" t="n">
        <v>0.5559679114024974</v>
      </c>
      <c r="L1807" t="b">
        <v>0</v>
      </c>
      <c r="M1807" t="b">
        <v>0</v>
      </c>
      <c r="N1807" t="inlineStr">
        <is>
          <t>alt</t>
        </is>
      </c>
      <c r="O1807" t="n">
        <v>40</v>
      </c>
      <c r="P1807" t="n">
        <v>0.000847</v>
      </c>
      <c r="Q1807" t="n">
        <v>-60</v>
      </c>
      <c r="R1807" t="n">
        <v>0.10815</v>
      </c>
      <c r="S1807">
        <f>IMAGE("https://mitra.stanford.edu/kundaje/oak/projects/neuro-variants/variant_position/credible/roussos_2024/variant_figures/roussos_2024.adolescence.Astrocyte/rs17650991_count_position.png",4,220,900)</f>
        <v/>
      </c>
      <c r="T1807">
        <f>IMAGE("https://mitra.stanford.edu/kundaje/oak/projects/neuro-variants/variant_position/credible/roussos_2024/variant_figures/roussos_2024.adolescence.Astrocyte/rs17650991_profile_position.png",4,220,900)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-0.0650766294</v>
      </c>
      <c r="G1808" t="n">
        <v>0.1844145768025674</v>
      </c>
      <c r="H1808" t="n">
        <v>0.022016017431017</v>
      </c>
      <c r="I1808" t="n">
        <v>0.1005014405719317</v>
      </c>
      <c r="J1808" t="n">
        <v>0.3213400884194285</v>
      </c>
      <c r="K1808" t="n">
        <v>0.1224845359488665</v>
      </c>
      <c r="L1808" t="b">
        <v>0</v>
      </c>
      <c r="M1808" t="b">
        <v>0</v>
      </c>
      <c r="N1808" t="inlineStr">
        <is>
          <t>ref</t>
        </is>
      </c>
      <c r="O1808" t="n">
        <v>-80</v>
      </c>
      <c r="P1808" t="n">
        <v>0.0054</v>
      </c>
      <c r="Q1808" t="n">
        <v>40</v>
      </c>
      <c r="R1808" t="n">
        <v>0.1426</v>
      </c>
      <c r="S1808">
        <f>IMAGE("https://mitra.stanford.edu/kundaje/oak/projects/neuro-variants/variant_position/credible/roussos_2024/variant_figures/roussos_2024.adolescence.Astrocyte/rs62063303_count_position.png",4,220,900)</f>
        <v/>
      </c>
      <c r="T1808">
        <f>IMAGE("https://mitra.stanford.edu/kundaje/oak/projects/neuro-variants/variant_position/credible/roussos_2024/variant_figures/roussos_2024.adolescence.Astrocyte/rs62063303_profile_position.png",4,220,900)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-0.0622909322</v>
      </c>
      <c r="G1809" t="n">
        <v>0.1783529845967578</v>
      </c>
      <c r="H1809" t="n">
        <v>0.0125361322268963</v>
      </c>
      <c r="I1809" t="n">
        <v>0.5016797024199702</v>
      </c>
      <c r="J1809" t="n">
        <v>0.3091008218852921</v>
      </c>
      <c r="K1809" t="n">
        <v>0.1289029118537309</v>
      </c>
      <c r="L1809" t="b">
        <v>0</v>
      </c>
      <c r="M1809" t="b">
        <v>0</v>
      </c>
      <c r="N1809" t="inlineStr">
        <is>
          <t>ref</t>
        </is>
      </c>
      <c r="O1809" t="n">
        <v>-40</v>
      </c>
      <c r="P1809" t="n">
        <v>0.0369</v>
      </c>
      <c r="Q1809" t="n">
        <v>-55</v>
      </c>
      <c r="R1809" t="n">
        <v>0.2057</v>
      </c>
      <c r="S1809">
        <f>IMAGE("https://mitra.stanford.edu/kundaje/oak/projects/neuro-variants/variant_position/credible/roussos_2024/variant_figures/roussos_2024.adolescence.Astrocyte/rs75242405_count_position.png",4,220,900)</f>
        <v/>
      </c>
      <c r="T1809">
        <f>IMAGE("https://mitra.stanford.edu/kundaje/oak/projects/neuro-variants/variant_position/credible/roussos_2024/variant_figures/roussos_2024.adolescence.Astrocyte/rs75242405_profile_position.png",4,220,900)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0.054242073</v>
      </c>
      <c r="G1810" t="n">
        <v>0.109092475899357</v>
      </c>
      <c r="H1810" t="n">
        <v>0.009882795995597099</v>
      </c>
      <c r="I1810" t="n">
        <v>0.7645026180250084</v>
      </c>
      <c r="J1810" t="n">
        <v>0.5593856629973593</v>
      </c>
      <c r="K1810" t="n">
        <v>0.042011813010684</v>
      </c>
      <c r="L1810" t="b">
        <v>0</v>
      </c>
      <c r="M1810" t="b">
        <v>0</v>
      </c>
      <c r="N1810" t="inlineStr">
        <is>
          <t>alt</t>
        </is>
      </c>
      <c r="O1810" t="n">
        <v>85</v>
      </c>
      <c r="P1810" t="n">
        <v>0.0101</v>
      </c>
      <c r="Q1810" t="n">
        <v>80</v>
      </c>
      <c r="R1810" t="n">
        <v>0.168</v>
      </c>
      <c r="S1810">
        <f>IMAGE("https://mitra.stanford.edu/kundaje/oak/projects/neuro-variants/variant_position/credible/roussos_2024/variant_figures/roussos_2024.adolescence.Astrocyte/rs62063776_count_position.png",4,220,900)</f>
        <v/>
      </c>
      <c r="T1810">
        <f>IMAGE("https://mitra.stanford.edu/kundaje/oak/projects/neuro-variants/variant_position/credible/roussos_2024/variant_figures/roussos_2024.adolescence.Astrocyte/rs62063776_profile_position.png",4,220,900)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0.1042927393999999</v>
      </c>
      <c r="G1811" t="n">
        <v>0.0776424089598089</v>
      </c>
      <c r="H1811" t="n">
        <v>0.0174135038021175</v>
      </c>
      <c r="I1811" t="n">
        <v>0.2258173872064097</v>
      </c>
      <c r="J1811" t="n">
        <v>0.3720648013529952</v>
      </c>
      <c r="K1811" t="n">
        <v>0.0986597101945525</v>
      </c>
      <c r="L1811" t="b">
        <v>0</v>
      </c>
      <c r="M1811" t="b">
        <v>0</v>
      </c>
      <c r="N1811" t="inlineStr">
        <is>
          <t>alt</t>
        </is>
      </c>
      <c r="O1811" t="n">
        <v>80</v>
      </c>
      <c r="P1811" t="n">
        <v>0.00435</v>
      </c>
      <c r="Q1811" t="n">
        <v>85</v>
      </c>
      <c r="R1811" t="n">
        <v>0.1682</v>
      </c>
      <c r="S1811">
        <f>IMAGE("https://mitra.stanford.edu/kundaje/oak/projects/neuro-variants/variant_position/credible/roussos_2024/variant_figures/roussos_2024.adolescence.Astrocyte/rs17572467_count_position.png",4,220,900)</f>
        <v/>
      </c>
      <c r="T1811">
        <f>IMAGE("https://mitra.stanford.edu/kundaje/oak/projects/neuro-variants/variant_position/credible/roussos_2024/variant_figures/roussos_2024.adolescence.Astrocyte/rs17572467_profile_position.png",4,220,900)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0.265478194</v>
      </c>
      <c r="G1812" t="n">
        <v>0.0084738848316029</v>
      </c>
      <c r="H1812" t="n">
        <v>0.0365699616400143</v>
      </c>
      <c r="I1812" t="n">
        <v>0.0148176500622446</v>
      </c>
      <c r="J1812" t="n">
        <v>0.4001164584755066</v>
      </c>
      <c r="K1812" t="n">
        <v>0.08804761164311239</v>
      </c>
      <c r="L1812" t="b">
        <v>1</v>
      </c>
      <c r="M1812" t="b">
        <v>1</v>
      </c>
      <c r="N1812" t="inlineStr">
        <is>
          <t>alt</t>
        </is>
      </c>
      <c r="O1812" t="n">
        <v>-100</v>
      </c>
      <c r="P1812" t="n">
        <v>0.01611</v>
      </c>
      <c r="Q1812" t="n">
        <v>-100</v>
      </c>
      <c r="R1812" t="n">
        <v>0.1973</v>
      </c>
      <c r="S1812">
        <f>IMAGE("https://mitra.stanford.edu/kundaje/oak/projects/neuro-variants/variant_position/credible/roussos_2024/variant_figures/roussos_2024.adolescence.Astrocyte/rs17572495_count_position.png",4,220,900)</f>
        <v/>
      </c>
      <c r="T1812">
        <f>IMAGE("https://mitra.stanford.edu/kundaje/oak/projects/neuro-variants/variant_position/credible/roussos_2024/variant_figures/roussos_2024.adolescence.Astrocyte/rs17572495_profile_position.png",4,220,900)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-0.206509314</v>
      </c>
      <c r="G1813" t="n">
        <v>0.0214736443817693</v>
      </c>
      <c r="H1813" t="n">
        <v>0.0281420587199823</v>
      </c>
      <c r="I1813" t="n">
        <v>0.0457783305962831</v>
      </c>
      <c r="J1813" t="n">
        <v>0.5279485505741329</v>
      </c>
      <c r="K1813" t="n">
        <v>0.0487118146538005</v>
      </c>
      <c r="L1813" t="b">
        <v>0</v>
      </c>
      <c r="M1813" t="b">
        <v>0</v>
      </c>
      <c r="N1813" t="inlineStr">
        <is>
          <t>ref</t>
        </is>
      </c>
      <c r="O1813" t="n">
        <v>100</v>
      </c>
      <c r="P1813" t="n">
        <v>0.002754</v>
      </c>
      <c r="Q1813" t="n">
        <v>100</v>
      </c>
      <c r="R1813" t="n">
        <v>0.1721</v>
      </c>
      <c r="S1813">
        <f>IMAGE("https://mitra.stanford.edu/kundaje/oak/projects/neuro-variants/variant_position/credible/roussos_2024/variant_figures/roussos_2024.adolescence.Astrocyte/rs56234850_count_position.png",4,220,900)</f>
        <v/>
      </c>
      <c r="T1813">
        <f>IMAGE("https://mitra.stanford.edu/kundaje/oak/projects/neuro-variants/variant_position/credible/roussos_2024/variant_figures/roussos_2024.adolescence.Astrocyte/rs56234850_profile_position.png",4,220,900)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0.0215195778</v>
      </c>
      <c r="G1814" t="n">
        <v>0.2917760436334168</v>
      </c>
      <c r="H1814" t="n">
        <v>0.0263376471229941</v>
      </c>
      <c r="I1814" t="n">
        <v>0.0523506502610017</v>
      </c>
      <c r="J1814" t="n">
        <v>0.2691882028306085</v>
      </c>
      <c r="K1814" t="n">
        <v>0.1535872826343177</v>
      </c>
      <c r="L1814" t="b">
        <v>0</v>
      </c>
      <c r="M1814" t="b">
        <v>0</v>
      </c>
      <c r="N1814" t="inlineStr">
        <is>
          <t>alt</t>
        </is>
      </c>
      <c r="O1814" t="n">
        <v>95</v>
      </c>
      <c r="P1814" t="n">
        <v>0.004536</v>
      </c>
      <c r="Q1814" t="n">
        <v>85</v>
      </c>
      <c r="R1814" t="n">
        <v>0.1656</v>
      </c>
      <c r="S1814">
        <f>IMAGE("https://mitra.stanford.edu/kundaje/oak/projects/neuro-variants/variant_position/credible/roussos_2024/variant_figures/roussos_2024.adolescence.Astrocyte/rs10445371_count_position.png",4,220,900)</f>
        <v/>
      </c>
      <c r="T1814">
        <f>IMAGE("https://mitra.stanford.edu/kundaje/oak/projects/neuro-variants/variant_position/credible/roussos_2024/variant_figures/roussos_2024.adolescence.Astrocyte/rs10445371_profile_position.png",4,220,900)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-0.4622864679999999</v>
      </c>
      <c r="G1815" t="n">
        <v>0.001619116145497</v>
      </c>
      <c r="H1815" t="n">
        <v>0.054648850376992</v>
      </c>
      <c r="I1815" t="n">
        <v>0.0027371313737424</v>
      </c>
      <c r="J1815" t="n">
        <v>0.1714061062813399</v>
      </c>
      <c r="K1815" t="n">
        <v>0.2312976977539253</v>
      </c>
      <c r="L1815" t="b">
        <v>1</v>
      </c>
      <c r="M1815" t="b">
        <v>1</v>
      </c>
      <c r="N1815" t="inlineStr">
        <is>
          <t>ref</t>
        </is>
      </c>
      <c r="O1815" t="n">
        <v>100</v>
      </c>
      <c r="P1815" t="n">
        <v>0.0274</v>
      </c>
      <c r="Q1815" t="n">
        <v>-70</v>
      </c>
      <c r="R1815" t="n">
        <v>0.07969999999999999</v>
      </c>
      <c r="S1815">
        <f>IMAGE("https://mitra.stanford.edu/kundaje/oak/projects/neuro-variants/variant_position/credible/roussos_2024/variant_figures/roussos_2024.adolescence.Astrocyte/rs919464_count_position.png",4,220,900)</f>
        <v/>
      </c>
      <c r="T1815">
        <f>IMAGE("https://mitra.stanford.edu/kundaje/oak/projects/neuro-variants/variant_position/credible/roussos_2024/variant_figures/roussos_2024.adolescence.Astrocyte/rs919464_profile_position.png",4,220,900)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-0.0005942850199999</v>
      </c>
      <c r="G1816" t="n">
        <v>0.7770749976719957</v>
      </c>
      <c r="H1816" t="n">
        <v>0.0089689438804029</v>
      </c>
      <c r="I1816" t="n">
        <v>0.8511150786111121</v>
      </c>
      <c r="J1816" t="n">
        <v>0.151268433077174</v>
      </c>
      <c r="K1816" t="n">
        <v>0.2537115709531394</v>
      </c>
      <c r="L1816" t="b">
        <v>0</v>
      </c>
      <c r="M1816" t="b">
        <v>0</v>
      </c>
      <c r="N1816" t="inlineStr">
        <is>
          <t>ref</t>
        </is>
      </c>
      <c r="O1816" t="n">
        <v>70</v>
      </c>
      <c r="P1816" t="n">
        <v>0.01735</v>
      </c>
      <c r="Q1816" t="n">
        <v>70</v>
      </c>
      <c r="R1816" t="n">
        <v>0.2374</v>
      </c>
      <c r="S1816">
        <f>IMAGE("https://mitra.stanford.edu/kundaje/oak/projects/neuro-variants/variant_position/credible/roussos_2024/variant_figures/roussos_2024.adolescence.Astrocyte/rs10445337_count_position.png",4,220,900)</f>
        <v/>
      </c>
      <c r="T1816">
        <f>IMAGE("https://mitra.stanford.edu/kundaje/oak/projects/neuro-variants/variant_position/credible/roussos_2024/variant_figures/roussos_2024.adolescence.Astrocyte/rs10445337_profile_position.png",4,220,900)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-0.165725998</v>
      </c>
      <c r="G1817" t="n">
        <v>0.0292680750415998</v>
      </c>
      <c r="H1817" t="n">
        <v>0.0360140277089927</v>
      </c>
      <c r="I1817" t="n">
        <v>0.0150496565627968</v>
      </c>
      <c r="J1817" t="n">
        <v>0.2664799869447823</v>
      </c>
      <c r="K1817" t="n">
        <v>0.1544663700458257</v>
      </c>
      <c r="L1817" t="b">
        <v>1</v>
      </c>
      <c r="M1817" t="b">
        <v>0</v>
      </c>
      <c r="N1817" t="inlineStr">
        <is>
          <t>ref</t>
        </is>
      </c>
      <c r="O1817" t="n">
        <v>100</v>
      </c>
      <c r="P1817" t="n">
        <v>0.00497</v>
      </c>
      <c r="Q1817" t="n">
        <v>-15</v>
      </c>
      <c r="R1817" t="n">
        <v>0.006012</v>
      </c>
      <c r="S1817">
        <f>IMAGE("https://mitra.stanford.edu/kundaje/oak/projects/neuro-variants/variant_position/credible/roussos_2024/variant_figures/roussos_2024.adolescence.Astrocyte/rs62063796_count_position.png",4,220,900)</f>
        <v/>
      </c>
      <c r="T1817">
        <f>IMAGE("https://mitra.stanford.edu/kundaje/oak/projects/neuro-variants/variant_position/credible/roussos_2024/variant_figures/roussos_2024.adolescence.Astrocyte/rs62063796_profile_position.png",4,220,900)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0.092344396</v>
      </c>
      <c r="G1818" t="n">
        <v>0.09375116140595049</v>
      </c>
      <c r="H1818" t="n">
        <v>0.017579465510823</v>
      </c>
      <c r="I1818" t="n">
        <v>0.2107153895480935</v>
      </c>
      <c r="J1818" t="n">
        <v>0.3097513574459246</v>
      </c>
      <c r="K1818" t="n">
        <v>0.1290171109959566</v>
      </c>
      <c r="L1818" t="b">
        <v>0</v>
      </c>
      <c r="M1818" t="b">
        <v>0</v>
      </c>
      <c r="N1818" t="inlineStr">
        <is>
          <t>alt</t>
        </is>
      </c>
      <c r="O1818" t="n">
        <v>-65</v>
      </c>
      <c r="P1818" t="n">
        <v>0.003994</v>
      </c>
      <c r="Q1818" t="n">
        <v>-10</v>
      </c>
      <c r="R1818" t="n">
        <v>0.02417</v>
      </c>
      <c r="S1818">
        <f>IMAGE("https://mitra.stanford.edu/kundaje/oak/projects/neuro-variants/variant_position/credible/roussos_2024/variant_figures/roussos_2024.adolescence.Astrocyte/rs77290642_count_position.png",4,220,900)</f>
        <v/>
      </c>
      <c r="T1818">
        <f>IMAGE("https://mitra.stanford.edu/kundaje/oak/projects/neuro-variants/variant_position/credible/roussos_2024/variant_figures/roussos_2024.adolescence.Astrocyte/rs77290642_profile_position.png",4,220,900)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-0.099292964</v>
      </c>
      <c r="G1819" t="n">
        <v>0.0791859238471762</v>
      </c>
      <c r="H1819" t="n">
        <v>0.0150647245988023</v>
      </c>
      <c r="I1819" t="n">
        <v>0.3171446042625157</v>
      </c>
      <c r="J1819" t="n">
        <v>0.4562338664213868</v>
      </c>
      <c r="K1819" t="n">
        <v>0.06917291975053989</v>
      </c>
      <c r="L1819" t="b">
        <v>0</v>
      </c>
      <c r="M1819" t="b">
        <v>0</v>
      </c>
      <c r="N1819" t="inlineStr">
        <is>
          <t>ref</t>
        </is>
      </c>
      <c r="O1819" t="n">
        <v>100</v>
      </c>
      <c r="P1819" t="n">
        <v>0.0402</v>
      </c>
      <c r="Q1819" t="n">
        <v>30</v>
      </c>
      <c r="R1819" t="n">
        <v>0.1533</v>
      </c>
      <c r="S1819">
        <f>IMAGE("https://mitra.stanford.edu/kundaje/oak/projects/neuro-variants/variant_position/credible/roussos_2024/variant_figures/roussos_2024.adolescence.Astrocyte/rs1052551_count_position.png",4,220,900)</f>
        <v/>
      </c>
      <c r="T1819">
        <f>IMAGE("https://mitra.stanford.edu/kundaje/oak/projects/neuro-variants/variant_position/credible/roussos_2024/variant_figures/roussos_2024.adolescence.Astrocyte/rs1052551_profile_position.png",4,220,900)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-0.188742496</v>
      </c>
      <c r="G1820" t="n">
        <v>0.0247898921962047</v>
      </c>
      <c r="H1820" t="n">
        <v>0.0242536209394251</v>
      </c>
      <c r="I1820" t="n">
        <v>0.0720749588988452</v>
      </c>
      <c r="J1820" t="n">
        <v>0.7554928344657746</v>
      </c>
      <c r="K1820" t="n">
        <v>0.0120689553584866</v>
      </c>
      <c r="L1820" t="b">
        <v>0</v>
      </c>
      <c r="M1820" t="b">
        <v>0</v>
      </c>
      <c r="N1820" t="inlineStr">
        <is>
          <t>ref</t>
        </is>
      </c>
      <c r="O1820" t="n">
        <v>-100</v>
      </c>
      <c r="P1820" t="n">
        <v>0.04932</v>
      </c>
      <c r="Q1820" t="n">
        <v>-25</v>
      </c>
      <c r="R1820" t="n">
        <v>0.2188</v>
      </c>
      <c r="S1820">
        <f>IMAGE("https://mitra.stanford.edu/kundaje/oak/projects/neuro-variants/variant_position/credible/roussos_2024/variant_figures/roussos_2024.adolescence.Astrocyte/rs74759276_count_position.png",4,220,900)</f>
        <v/>
      </c>
      <c r="T1820">
        <f>IMAGE("https://mitra.stanford.edu/kundaje/oak/projects/neuro-variants/variant_position/credible/roussos_2024/variant_figures/roussos_2024.adolescence.Astrocyte/rs74759276_profile_position.png",4,220,900)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0.25388586</v>
      </c>
      <c r="G1821" t="n">
        <v>0.0124822146736488</v>
      </c>
      <c r="H1821" t="n">
        <v>0.0290042129047876</v>
      </c>
      <c r="I1821" t="n">
        <v>0.0430096302309583</v>
      </c>
      <c r="J1821" t="n">
        <v>0.7825987300833754</v>
      </c>
      <c r="K1821" t="n">
        <v>0.008936687756199499</v>
      </c>
      <c r="L1821" t="b">
        <v>1</v>
      </c>
      <c r="M1821" t="b">
        <v>0</v>
      </c>
      <c r="N1821" t="inlineStr">
        <is>
          <t>alt</t>
        </is>
      </c>
      <c r="O1821" t="n">
        <v>-100</v>
      </c>
      <c r="P1821" t="n">
        <v>0.03296</v>
      </c>
      <c r="Q1821" t="n">
        <v>-95</v>
      </c>
      <c r="R1821" t="n">
        <v>0.2817</v>
      </c>
      <c r="S1821">
        <f>IMAGE("https://mitra.stanford.edu/kundaje/oak/projects/neuro-variants/variant_position/credible/roussos_2024/variant_figures/roussos_2024.adolescence.Astrocyte/rs17651887_count_position.png",4,220,900)</f>
        <v/>
      </c>
      <c r="T1821">
        <f>IMAGE("https://mitra.stanford.edu/kundaje/oak/projects/neuro-variants/variant_position/credible/roussos_2024/variant_figures/roussos_2024.adolescence.Astrocyte/rs17651887_profile_position.png",4,220,900)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-0.0180424928</v>
      </c>
      <c r="G1822" t="n">
        <v>0.5913874931031412</v>
      </c>
      <c r="H1822" t="n">
        <v>0.0368891252992324</v>
      </c>
      <c r="I1822" t="n">
        <v>0.0134532767913431</v>
      </c>
      <c r="J1822" t="n">
        <v>0.1922647835504257</v>
      </c>
      <c r="K1822" t="n">
        <v>0.2139339587167967</v>
      </c>
      <c r="L1822" t="b">
        <v>1</v>
      </c>
      <c r="M1822" t="b">
        <v>0</v>
      </c>
      <c r="N1822" t="inlineStr">
        <is>
          <t>ref</t>
        </is>
      </c>
      <c r="O1822" t="n">
        <v>-100</v>
      </c>
      <c r="P1822" t="n">
        <v>0.03702</v>
      </c>
      <c r="Q1822" t="n">
        <v>-100</v>
      </c>
      <c r="R1822" t="n">
        <v>0.1882</v>
      </c>
      <c r="S1822">
        <f>IMAGE("https://mitra.stanford.edu/kundaje/oak/projects/neuro-variants/variant_position/credible/roussos_2024/variant_figures/roussos_2024.adolescence.Astrocyte/rs55913645_count_position.png",4,220,900)</f>
        <v/>
      </c>
      <c r="T1822">
        <f>IMAGE("https://mitra.stanford.edu/kundaje/oak/projects/neuro-variants/variant_position/credible/roussos_2024/variant_figures/roussos_2024.adolescence.Astrocyte/rs55913645_profile_position.png",4,220,900)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0.0101945451999999</v>
      </c>
      <c r="G1823" t="n">
        <v>0.4430507813952954</v>
      </c>
      <c r="H1823" t="n">
        <v>0.0100007228976399</v>
      </c>
      <c r="I1823" t="n">
        <v>0.7569951307482964</v>
      </c>
      <c r="J1823" t="n">
        <v>0.2870412129484022</v>
      </c>
      <c r="K1823" t="n">
        <v>0.1421867970186173</v>
      </c>
      <c r="L1823" t="b">
        <v>0</v>
      </c>
      <c r="M1823" t="b">
        <v>0</v>
      </c>
      <c r="N1823" t="inlineStr">
        <is>
          <t>alt</t>
        </is>
      </c>
      <c r="O1823" t="n">
        <v>0</v>
      </c>
      <c r="P1823" t="n">
        <v>0</v>
      </c>
      <c r="Q1823" t="n">
        <v>55</v>
      </c>
      <c r="R1823" t="n">
        <v>0.03302</v>
      </c>
      <c r="S1823">
        <f>IMAGE("https://mitra.stanford.edu/kundaje/oak/projects/neuro-variants/variant_position/credible/roussos_2024/variant_figures/roussos_2024.adolescence.Astrocyte/rs62063849_count_position.png",4,220,900)</f>
        <v/>
      </c>
      <c r="T1823">
        <f>IMAGE("https://mitra.stanford.edu/kundaje/oak/projects/neuro-variants/variant_position/credible/roussos_2024/variant_figures/roussos_2024.adolescence.Astrocyte/rs62063849_profile_position.png",4,220,900)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-0.060865199</v>
      </c>
      <c r="G1824" t="n">
        <v>0.187265685599083</v>
      </c>
      <c r="H1824" t="n">
        <v>0.026135951099303</v>
      </c>
      <c r="I1824" t="n">
        <v>0.06327684552134</v>
      </c>
      <c r="J1824" t="n">
        <v>0.2095340177432275</v>
      </c>
      <c r="K1824" t="n">
        <v>0.2007123168728287</v>
      </c>
      <c r="L1824" t="b">
        <v>0</v>
      </c>
      <c r="M1824" t="b">
        <v>0</v>
      </c>
      <c r="N1824" t="inlineStr">
        <is>
          <t>ref</t>
        </is>
      </c>
      <c r="O1824" t="n">
        <v>-55</v>
      </c>
      <c r="P1824" t="n">
        <v>0.001965</v>
      </c>
      <c r="Q1824" t="n">
        <v>-100</v>
      </c>
      <c r="R1824" t="n">
        <v>0.1178</v>
      </c>
      <c r="S1824">
        <f>IMAGE("https://mitra.stanford.edu/kundaje/oak/projects/neuro-variants/variant_position/credible/roussos_2024/variant_figures/roussos_2024.adolescence.Astrocyte/rs62063851_count_position.png",4,220,900)</f>
        <v/>
      </c>
      <c r="T1824">
        <f>IMAGE("https://mitra.stanford.edu/kundaje/oak/projects/neuro-variants/variant_position/credible/roussos_2024/variant_figures/roussos_2024.adolescence.Astrocyte/rs62063851_profile_position.png",4,220,900)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0.00433285428</v>
      </c>
      <c r="G1825" t="n">
        <v>0.5289119474484852</v>
      </c>
      <c r="H1825" t="n">
        <v>0.0122423323815377</v>
      </c>
      <c r="I1825" t="n">
        <v>0.5355989507515421</v>
      </c>
      <c r="J1825" t="n">
        <v>0.2393978280865204</v>
      </c>
      <c r="K1825" t="n">
        <v>0.1740225169412917</v>
      </c>
      <c r="L1825" t="b">
        <v>0</v>
      </c>
      <c r="M1825" t="b">
        <v>0</v>
      </c>
      <c r="N1825" t="inlineStr">
        <is>
          <t>alt</t>
        </is>
      </c>
      <c r="O1825" t="n">
        <v>-35</v>
      </c>
      <c r="P1825" t="n">
        <v>0.00522</v>
      </c>
      <c r="Q1825" t="n">
        <v>100</v>
      </c>
      <c r="R1825" t="n">
        <v>0.09235</v>
      </c>
      <c r="S1825">
        <f>IMAGE("https://mitra.stanford.edu/kundaje/oak/projects/neuro-variants/variant_position/credible/roussos_2024/variant_figures/roussos_2024.adolescence.Astrocyte/rs2004673_count_position.png",4,220,900)</f>
        <v/>
      </c>
      <c r="T1825">
        <f>IMAGE("https://mitra.stanford.edu/kundaje/oak/projects/neuro-variants/variant_position/credible/roussos_2024/variant_figures/roussos_2024.adolescence.Astrocyte/rs2004673_profile_position.png",4,220,900)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0.01770936244</v>
      </c>
      <c r="G1826" t="n">
        <v>0.4516025951485303</v>
      </c>
      <c r="H1826" t="n">
        <v>0.0154139199041386</v>
      </c>
      <c r="I1826" t="n">
        <v>0.2951426307213151</v>
      </c>
      <c r="J1826" t="n">
        <v>0.2458979912767408</v>
      </c>
      <c r="K1826" t="n">
        <v>0.1703247035975134</v>
      </c>
      <c r="L1826" t="b">
        <v>0</v>
      </c>
      <c r="M1826" t="b">
        <v>0</v>
      </c>
      <c r="N1826" t="inlineStr">
        <is>
          <t>alt</t>
        </is>
      </c>
      <c r="O1826" t="n">
        <v>-100</v>
      </c>
      <c r="P1826" t="n">
        <v>0.0074</v>
      </c>
      <c r="Q1826" t="n">
        <v>-100</v>
      </c>
      <c r="R1826" t="n">
        <v>0.05017</v>
      </c>
      <c r="S1826">
        <f>IMAGE("https://mitra.stanford.edu/kundaje/oak/projects/neuro-variants/variant_position/credible/roussos_2024/variant_figures/roussos_2024.adolescence.Astrocyte/rs1078269_count_position.png",4,220,900)</f>
        <v/>
      </c>
      <c r="T1826">
        <f>IMAGE("https://mitra.stanford.edu/kundaje/oak/projects/neuro-variants/variant_position/credible/roussos_2024/variant_figures/roussos_2024.adolescence.Astrocyte/rs1078269_profile_position.png",4,220,900)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0.0218919278</v>
      </c>
      <c r="G1827" t="n">
        <v>0.5180627181218436</v>
      </c>
      <c r="H1827" t="n">
        <v>0.0295263545923883</v>
      </c>
      <c r="I1827" t="n">
        <v>0.0332734157728781</v>
      </c>
      <c r="J1827" t="n">
        <v>0.2836327626620775</v>
      </c>
      <c r="K1827" t="n">
        <v>0.1431304146700351</v>
      </c>
      <c r="L1827" t="b">
        <v>0</v>
      </c>
      <c r="M1827" t="b">
        <v>0</v>
      </c>
      <c r="N1827" t="inlineStr">
        <is>
          <t>alt</t>
        </is>
      </c>
      <c r="O1827" t="n">
        <v>-65</v>
      </c>
      <c r="P1827" t="n">
        <v>0.0334</v>
      </c>
      <c r="Q1827" t="n">
        <v>-65</v>
      </c>
      <c r="R1827" t="n">
        <v>0.07556</v>
      </c>
      <c r="S1827">
        <f>IMAGE("https://mitra.stanford.edu/kundaje/oak/projects/neuro-variants/variant_position/credible/roussos_2024/variant_figures/roussos_2024.adolescence.Astrocyte/rs62064660_count_position.png",4,220,900)</f>
        <v/>
      </c>
      <c r="T1827">
        <f>IMAGE("https://mitra.stanford.edu/kundaje/oak/projects/neuro-variants/variant_position/credible/roussos_2024/variant_figures/roussos_2024.adolescence.Astrocyte/rs62064660_profile_position.png",4,220,900)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0.05576937</v>
      </c>
      <c r="G1828" t="n">
        <v>0.0536030817940755</v>
      </c>
      <c r="H1828" t="n">
        <v>0.0172690354629849</v>
      </c>
      <c r="I1828" t="n">
        <v>0.225139947456441</v>
      </c>
      <c r="J1828" t="n">
        <v>0.7872481678188885</v>
      </c>
      <c r="K1828" t="n">
        <v>0.007958886957232099</v>
      </c>
      <c r="L1828" t="b">
        <v>0</v>
      </c>
      <c r="M1828" t="b">
        <v>0</v>
      </c>
      <c r="N1828" t="inlineStr">
        <is>
          <t>alt</t>
        </is>
      </c>
      <c r="O1828" t="n">
        <v>0</v>
      </c>
      <c r="P1828" t="n">
        <v>0</v>
      </c>
      <c r="Q1828" t="n">
        <v>35</v>
      </c>
      <c r="R1828" t="n">
        <v>0.004883</v>
      </c>
      <c r="S1828">
        <f>IMAGE("https://mitra.stanford.edu/kundaje/oak/projects/neuro-variants/variant_position/credible/roussos_2024/variant_figures/roussos_2024.adolescence.Astrocyte/rs62064665_count_position.png",4,220,900)</f>
        <v/>
      </c>
      <c r="T1828">
        <f>IMAGE("https://mitra.stanford.edu/kundaje/oak/projects/neuro-variants/variant_position/credible/roussos_2024/variant_figures/roussos_2024.adolescence.Astrocyte/rs62064665_profile_position.png",4,220,900)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0.45353208</v>
      </c>
      <c r="G1829" t="n">
        <v>0.0016921980556851</v>
      </c>
      <c r="H1829" t="n">
        <v>0.0562927736121749</v>
      </c>
      <c r="I1829" t="n">
        <v>0.0029212366892512</v>
      </c>
      <c r="J1829" t="n">
        <v>0.2439767973177461</v>
      </c>
      <c r="K1829" t="n">
        <v>0.1697325550041534</v>
      </c>
      <c r="L1829" t="b">
        <v>1</v>
      </c>
      <c r="M1829" t="b">
        <v>1</v>
      </c>
      <c r="N1829" t="inlineStr">
        <is>
          <t>alt</t>
        </is>
      </c>
      <c r="O1829" t="n">
        <v>-5</v>
      </c>
      <c r="P1829" t="n">
        <v>0.000862</v>
      </c>
      <c r="Q1829" t="n">
        <v>-80</v>
      </c>
      <c r="R1829" t="n">
        <v>0.1945</v>
      </c>
      <c r="S1829">
        <f>IMAGE("https://mitra.stanford.edu/kundaje/oak/projects/neuro-variants/variant_position/credible/roussos_2024/variant_figures/roussos_2024.adolescence.Astrocyte/rs17573593_count_position.png",4,220,900)</f>
        <v/>
      </c>
      <c r="T1829">
        <f>IMAGE("https://mitra.stanford.edu/kundaje/oak/projects/neuro-variants/variant_position/credible/roussos_2024/variant_figures/roussos_2024.adolescence.Astrocyte/rs17573593_profile_position.png",4,220,900)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-0.0361797032</v>
      </c>
      <c r="G1830" t="n">
        <v>0.3709378014449139</v>
      </c>
      <c r="H1830" t="n">
        <v>0.0130045301352228</v>
      </c>
      <c r="I1830" t="n">
        <v>0.4659981382146623</v>
      </c>
      <c r="J1830" t="n">
        <v>0.2594353618372251</v>
      </c>
      <c r="K1830" t="n">
        <v>0.1596271252588855</v>
      </c>
      <c r="L1830" t="b">
        <v>0</v>
      </c>
      <c r="M1830" t="b">
        <v>0</v>
      </c>
      <c r="N1830" t="inlineStr">
        <is>
          <t>ref</t>
        </is>
      </c>
      <c r="O1830" t="n">
        <v>-80</v>
      </c>
      <c r="P1830" t="n">
        <v>0.012634</v>
      </c>
      <c r="Q1830" t="n">
        <v>100</v>
      </c>
      <c r="R1830" t="n">
        <v>0.4282</v>
      </c>
      <c r="S1830">
        <f>IMAGE("https://mitra.stanford.edu/kundaje/oak/projects/neuro-variants/variant_position/credible/roussos_2024/variant_figures/roussos_2024.adolescence.Astrocyte/rs17652337_count_position.png",4,220,900)</f>
        <v/>
      </c>
      <c r="T1830">
        <f>IMAGE("https://mitra.stanford.edu/kundaje/oak/projects/neuro-variants/variant_position/credible/roussos_2024/variant_figures/roussos_2024.adolescence.Astrocyte/rs17652337_profile_position.png",4,220,900)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-0.0015509332607999</v>
      </c>
      <c r="G1831" t="n">
        <v>0.7632073525168388</v>
      </c>
      <c r="H1831" t="n">
        <v>0.0284873182257888</v>
      </c>
      <c r="I1831" t="n">
        <v>0.039292094164578</v>
      </c>
      <c r="J1831" t="n">
        <v>0.0520636145150283</v>
      </c>
      <c r="K1831" t="n">
        <v>0.433574352651126</v>
      </c>
      <c r="L1831" t="b">
        <v>0</v>
      </c>
      <c r="M1831" t="b">
        <v>0</v>
      </c>
      <c r="N1831" t="inlineStr">
        <is>
          <t>ref</t>
        </is>
      </c>
      <c r="O1831" t="n">
        <v>-100</v>
      </c>
      <c r="P1831" t="n">
        <v>0.1289</v>
      </c>
      <c r="Q1831" t="n">
        <v>100</v>
      </c>
      <c r="R1831" t="n">
        <v>0.1061</v>
      </c>
      <c r="S1831">
        <f>IMAGE("https://mitra.stanford.edu/kundaje/oak/projects/neuro-variants/variant_position/credible/roussos_2024/variant_figures/roussos_2024.adolescence.Astrocyte/rs74829364_count_position.png",4,220,900)</f>
        <v/>
      </c>
      <c r="T1831">
        <f>IMAGE("https://mitra.stanford.edu/kundaje/oak/projects/neuro-variants/variant_position/credible/roussos_2024/variant_figures/roussos_2024.adolescence.Astrocyte/rs74829364_profile_position.png",4,220,900)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0.0045508889628</v>
      </c>
      <c r="G1832" t="n">
        <v>0.7506538759493488</v>
      </c>
      <c r="H1832" t="n">
        <v>0.009156923187834501</v>
      </c>
      <c r="I1832" t="n">
        <v>0.823198214382907</v>
      </c>
      <c r="J1832" t="n">
        <v>0.2328835711954425</v>
      </c>
      <c r="K1832" t="n">
        <v>0.1775769704703916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0.00783</v>
      </c>
      <c r="Q1832" t="n">
        <v>100</v>
      </c>
      <c r="R1832" t="n">
        <v>0.1816</v>
      </c>
      <c r="S1832">
        <f>IMAGE("https://mitra.stanford.edu/kundaje/oak/projects/neuro-variants/variant_position/credible/roussos_2024/variant_figures/roussos_2024.adolescence.Astrocyte/rs62064672_count_position.png",4,220,900)</f>
        <v/>
      </c>
      <c r="T1832">
        <f>IMAGE("https://mitra.stanford.edu/kundaje/oak/projects/neuro-variants/variant_position/credible/roussos_2024/variant_figures/roussos_2024.adolescence.Astrocyte/rs62064672_profile_position.png",4,220,900)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0.0078818838999999</v>
      </c>
      <c r="G1833" t="n">
        <v>0.7311736577027728</v>
      </c>
      <c r="H1833" t="n">
        <v>0.0215714341472854</v>
      </c>
      <c r="I1833" t="n">
        <v>0.1094667698132245</v>
      </c>
      <c r="J1833" t="n">
        <v>0.2367778832744859</v>
      </c>
      <c r="K1833" t="n">
        <v>0.1765174885479263</v>
      </c>
      <c r="L1833" t="b">
        <v>0</v>
      </c>
      <c r="M1833" t="b">
        <v>0</v>
      </c>
      <c r="N1833" t="inlineStr">
        <is>
          <t>alt</t>
        </is>
      </c>
      <c r="O1833" t="n">
        <v>-100</v>
      </c>
      <c r="P1833" t="n">
        <v>0.005264</v>
      </c>
      <c r="Q1833" t="n">
        <v>45</v>
      </c>
      <c r="R1833" t="n">
        <v>0.0648</v>
      </c>
      <c r="S1833">
        <f>IMAGE("https://mitra.stanford.edu/kundaje/oak/projects/neuro-variants/variant_position/credible/roussos_2024/variant_figures/roussos_2024.adolescence.Astrocyte/rs62064674_count_position.png",4,220,900)</f>
        <v/>
      </c>
      <c r="T1833">
        <f>IMAGE("https://mitra.stanford.edu/kundaje/oak/projects/neuro-variants/variant_position/credible/roussos_2024/variant_figures/roussos_2024.adolescence.Astrocyte/rs62064674_profile_position.png",4,220,900)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0.08561903899999999</v>
      </c>
      <c r="G1834" t="n">
        <v>0.1015035025852037</v>
      </c>
      <c r="H1834" t="n">
        <v>0.0193593706475481</v>
      </c>
      <c r="I1834" t="n">
        <v>0.1512269800714419</v>
      </c>
      <c r="J1834" t="n">
        <v>0.2722643384861881</v>
      </c>
      <c r="K1834" t="n">
        <v>0.1513131213300646</v>
      </c>
      <c r="L1834" t="b">
        <v>0</v>
      </c>
      <c r="M1834" t="b">
        <v>0</v>
      </c>
      <c r="N1834" t="inlineStr">
        <is>
          <t>alt</t>
        </is>
      </c>
      <c r="O1834" t="n">
        <v>20</v>
      </c>
      <c r="P1834" t="n">
        <v>0.003132</v>
      </c>
      <c r="Q1834" t="n">
        <v>-55</v>
      </c>
      <c r="R1834" t="n">
        <v>0.0654</v>
      </c>
      <c r="S1834">
        <f>IMAGE("https://mitra.stanford.edu/kundaje/oak/projects/neuro-variants/variant_position/credible/roussos_2024/variant_figures/roussos_2024.adolescence.Astrocyte/rs76723223_count_position.png",4,220,900)</f>
        <v/>
      </c>
      <c r="T1834">
        <f>IMAGE("https://mitra.stanford.edu/kundaje/oak/projects/neuro-variants/variant_position/credible/roussos_2024/variant_figures/roussos_2024.adolescence.Astrocyte/rs76723223_profile_position.png",4,220,900)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-0.214032006</v>
      </c>
      <c r="G1835" t="n">
        <v>0.0162609689952187</v>
      </c>
      <c r="H1835" t="n">
        <v>0.0297197896303972</v>
      </c>
      <c r="I1835" t="n">
        <v>0.0326996351021188</v>
      </c>
      <c r="J1835" t="n">
        <v>0.3882280509153487</v>
      </c>
      <c r="K1835" t="n">
        <v>0.0927523660059604</v>
      </c>
      <c r="L1835" t="b">
        <v>1</v>
      </c>
      <c r="M1835" t="b">
        <v>0</v>
      </c>
      <c r="N1835" t="inlineStr">
        <is>
          <t>ref</t>
        </is>
      </c>
      <c r="O1835" t="n">
        <v>100</v>
      </c>
      <c r="P1835" t="n">
        <v>0.007939999999999999</v>
      </c>
      <c r="Q1835" t="n">
        <v>100</v>
      </c>
      <c r="R1835" t="n">
        <v>0.1328</v>
      </c>
      <c r="S1835">
        <f>IMAGE("https://mitra.stanford.edu/kundaje/oak/projects/neuro-variants/variant_position/credible/roussos_2024/variant_figures/roussos_2024.adolescence.Astrocyte/rs733966_count_position.png",4,220,900)</f>
        <v/>
      </c>
      <c r="T1835">
        <f>IMAGE("https://mitra.stanford.edu/kundaje/oak/projects/neuro-variants/variant_position/credible/roussos_2024/variant_figures/roussos_2024.adolescence.Astrocyte/rs733966_profile_position.png",4,220,900)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-0.0931063451999999</v>
      </c>
      <c r="G1836" t="n">
        <v>0.0916860619419123</v>
      </c>
      <c r="H1836" t="n">
        <v>0.0165333531851542</v>
      </c>
      <c r="I1836" t="n">
        <v>0.24805923319004</v>
      </c>
      <c r="J1836" t="n">
        <v>0.3917863394950004</v>
      </c>
      <c r="K1836" t="n">
        <v>0.09138521139664151</v>
      </c>
      <c r="L1836" t="b">
        <v>0</v>
      </c>
      <c r="M1836" t="b">
        <v>0</v>
      </c>
      <c r="N1836" t="inlineStr">
        <is>
          <t>ref</t>
        </is>
      </c>
      <c r="O1836" t="n">
        <v>-65</v>
      </c>
      <c r="P1836" t="n">
        <v>0.00643</v>
      </c>
      <c r="Q1836" t="n">
        <v>-45</v>
      </c>
      <c r="R1836" t="n">
        <v>0.1699</v>
      </c>
      <c r="S1836">
        <f>IMAGE("https://mitra.stanford.edu/kundaje/oak/projects/neuro-variants/variant_position/credible/roussos_2024/variant_figures/roussos_2024.adolescence.Astrocyte/rs733969_count_position.png",4,220,900)</f>
        <v/>
      </c>
      <c r="T1836">
        <f>IMAGE("https://mitra.stanford.edu/kundaje/oak/projects/neuro-variants/variant_position/credible/roussos_2024/variant_figures/roussos_2024.adolescence.Astrocyte/rs733969_profile_position.png",4,220,900)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0.03648324892</v>
      </c>
      <c r="G1837" t="n">
        <v>0.3510802560094251</v>
      </c>
      <c r="H1837" t="n">
        <v>0.0153443942765018</v>
      </c>
      <c r="I1837" t="n">
        <v>0.3054236167418791</v>
      </c>
      <c r="J1837" t="n">
        <v>0.2629053793430851</v>
      </c>
      <c r="K1837" t="n">
        <v>0.1575639680659276</v>
      </c>
      <c r="L1837" t="b">
        <v>0</v>
      </c>
      <c r="M1837" t="b">
        <v>0</v>
      </c>
      <c r="N1837" t="inlineStr">
        <is>
          <t>alt</t>
        </is>
      </c>
      <c r="O1837" t="n">
        <v>-100</v>
      </c>
      <c r="P1837" t="n">
        <v>0.003052</v>
      </c>
      <c r="Q1837" t="n">
        <v>-95</v>
      </c>
      <c r="R1837" t="n">
        <v>0.0784</v>
      </c>
      <c r="S1837">
        <f>IMAGE("https://mitra.stanford.edu/kundaje/oak/projects/neuro-variants/variant_position/credible/roussos_2024/variant_figures/roussos_2024.adolescence.Astrocyte/rs4306559_count_position.png",4,220,900)</f>
        <v/>
      </c>
      <c r="T1837">
        <f>IMAGE("https://mitra.stanford.edu/kundaje/oak/projects/neuro-variants/variant_position/credible/roussos_2024/variant_figures/roussos_2024.adolescence.Astrocyte/rs4306559_profile_position.png",4,220,900)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0.04001025526</v>
      </c>
      <c r="G1838" t="n">
        <v>0.3193301338619078</v>
      </c>
      <c r="H1838" t="n">
        <v>0.0118590261743488</v>
      </c>
      <c r="I1838" t="n">
        <v>0.5581898729996434</v>
      </c>
      <c r="J1838" t="n">
        <v>0.3451584428685873</v>
      </c>
      <c r="K1838" t="n">
        <v>0.1110942075743638</v>
      </c>
      <c r="L1838" t="b">
        <v>0</v>
      </c>
      <c r="M1838" t="b">
        <v>0</v>
      </c>
      <c r="N1838" t="inlineStr">
        <is>
          <t>alt</t>
        </is>
      </c>
      <c r="O1838" t="n">
        <v>95</v>
      </c>
      <c r="P1838" t="n">
        <v>0.0519</v>
      </c>
      <c r="Q1838" t="n">
        <v>95</v>
      </c>
      <c r="R1838" t="n">
        <v>0.535</v>
      </c>
      <c r="S1838">
        <f>IMAGE("https://mitra.stanford.edu/kundaje/oak/projects/neuro-variants/variant_position/credible/roussos_2024/variant_figures/roussos_2024.adolescence.Astrocyte/rs62062270_count_position.png",4,220,900)</f>
        <v/>
      </c>
      <c r="T1838">
        <f>IMAGE("https://mitra.stanford.edu/kundaje/oak/projects/neuro-variants/variant_position/credible/roussos_2024/variant_figures/roussos_2024.adolescence.Astrocyte/rs62062270_profile_position.png",4,220,900)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0.1094283359999999</v>
      </c>
      <c r="G1839" t="n">
        <v>0.07003111733602919</v>
      </c>
      <c r="H1839" t="n">
        <v>0.0139384176714586</v>
      </c>
      <c r="I1839" t="n">
        <v>0.3890261876494891</v>
      </c>
      <c r="J1839" t="n">
        <v>0.0232776014004687</v>
      </c>
      <c r="K1839" t="n">
        <v>0.5541332928380539</v>
      </c>
      <c r="L1839" t="b">
        <v>0</v>
      </c>
      <c r="M1839" t="b">
        <v>0</v>
      </c>
      <c r="N1839" t="inlineStr">
        <is>
          <t>alt</t>
        </is>
      </c>
      <c r="O1839" t="n">
        <v>100</v>
      </c>
      <c r="P1839" t="n">
        <v>0.01235</v>
      </c>
      <c r="Q1839" t="n">
        <v>-90</v>
      </c>
      <c r="R1839" t="n">
        <v>0.07996</v>
      </c>
      <c r="S1839">
        <f>IMAGE("https://mitra.stanford.edu/kundaje/oak/projects/neuro-variants/variant_position/credible/roussos_2024/variant_figures/roussos_2024.adolescence.Astrocyte/rs62062275_count_position.png",4,220,900)</f>
        <v/>
      </c>
      <c r="T1839">
        <f>IMAGE("https://mitra.stanford.edu/kundaje/oak/projects/neuro-variants/variant_position/credible/roussos_2024/variant_figures/roussos_2024.adolescence.Astrocyte/rs62062275_profile_position.png",4,220,900)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-0.01513454708</v>
      </c>
      <c r="G1840" t="n">
        <v>0.5708833248290806</v>
      </c>
      <c r="H1840" t="n">
        <v>0.0133304900307583</v>
      </c>
      <c r="I1840" t="n">
        <v>0.4408393609316594</v>
      </c>
      <c r="J1840" t="n">
        <v>0.6075104590095837</v>
      </c>
      <c r="K1840" t="n">
        <v>0.0321524428565983</v>
      </c>
      <c r="L1840" t="b">
        <v>0</v>
      </c>
      <c r="M1840" t="b">
        <v>0</v>
      </c>
      <c r="N1840" t="inlineStr">
        <is>
          <t>ref</t>
        </is>
      </c>
      <c r="O1840" t="n">
        <v>100</v>
      </c>
      <c r="P1840" t="n">
        <v>0.03912</v>
      </c>
      <c r="Q1840" t="n">
        <v>15</v>
      </c>
      <c r="R1840" t="n">
        <v>0.02185</v>
      </c>
      <c r="S1840">
        <f>IMAGE("https://mitra.stanford.edu/kundaje/oak/projects/neuro-variants/variant_position/credible/roussos_2024/variant_figures/roussos_2024.adolescence.Astrocyte/rs9468_count_position.png",4,220,900)</f>
        <v/>
      </c>
      <c r="T1840">
        <f>IMAGE("https://mitra.stanford.edu/kundaje/oak/projects/neuro-variants/variant_position/credible/roussos_2024/variant_figures/roussos_2024.adolescence.Astrocyte/rs9468_profile_position.png",4,220,900)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0.0640029962</v>
      </c>
      <c r="G1841" t="n">
        <v>0.1585641948735686</v>
      </c>
      <c r="H1841" t="n">
        <v>0.0152790170794147</v>
      </c>
      <c r="I1841" t="n">
        <v>0.3095744648088593</v>
      </c>
      <c r="J1841" t="n">
        <v>0.2993079251105242</v>
      </c>
      <c r="K1841" t="n">
        <v>0.134982796755698</v>
      </c>
      <c r="L1841" t="b">
        <v>0</v>
      </c>
      <c r="M1841" t="b">
        <v>0</v>
      </c>
      <c r="N1841" t="inlineStr">
        <is>
          <t>alt</t>
        </is>
      </c>
      <c r="O1841" t="n">
        <v>-100</v>
      </c>
      <c r="P1841" t="n">
        <v>0.003765</v>
      </c>
      <c r="Q1841" t="n">
        <v>-55</v>
      </c>
      <c r="R1841" t="n">
        <v>0.05078</v>
      </c>
      <c r="S1841">
        <f>IMAGE("https://mitra.stanford.edu/kundaje/oak/projects/neuro-variants/variant_position/credible/roussos_2024/variant_figures/roussos_2024.adolescence.Astrocyte/rs1052590_count_position.png",4,220,900)</f>
        <v/>
      </c>
      <c r="T1841">
        <f>IMAGE("https://mitra.stanford.edu/kundaje/oak/projects/neuro-variants/variant_position/credible/roussos_2024/variant_figures/roussos_2024.adolescence.Astrocyte/rs1052590_profile_position.png",4,220,900)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0.07620850034</v>
      </c>
      <c r="G1842" t="n">
        <v>0.160816250207422</v>
      </c>
      <c r="H1842" t="n">
        <v>0.0198458498547404</v>
      </c>
      <c r="I1842" t="n">
        <v>0.1439858513484052</v>
      </c>
      <c r="J1842" t="n">
        <v>0.2166060884787704</v>
      </c>
      <c r="K1842" t="n">
        <v>0.1910765737826764</v>
      </c>
      <c r="L1842" t="b">
        <v>0</v>
      </c>
      <c r="M1842" t="b">
        <v>0</v>
      </c>
      <c r="N1842" t="inlineStr">
        <is>
          <t>alt</t>
        </is>
      </c>
      <c r="O1842" t="n">
        <v>-75</v>
      </c>
      <c r="P1842" t="n">
        <v>0.08734</v>
      </c>
      <c r="Q1842" t="n">
        <v>50</v>
      </c>
      <c r="R1842" t="n">
        <v>0.06244</v>
      </c>
      <c r="S1842">
        <f>IMAGE("https://mitra.stanford.edu/kundaje/oak/projects/neuro-variants/variant_position/credible/roussos_2024/variant_figures/roussos_2024.adolescence.Astrocyte/rs17652748_count_position.png",4,220,900)</f>
        <v/>
      </c>
      <c r="T1842">
        <f>IMAGE("https://mitra.stanford.edu/kundaje/oak/projects/neuro-variants/variant_position/credible/roussos_2024/variant_figures/roussos_2024.adolescence.Astrocyte/rs17652748_profile_position.png",4,220,900)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0.0608811488</v>
      </c>
      <c r="G1843" t="n">
        <v>0.1904564670968943</v>
      </c>
      <c r="H1843" t="n">
        <v>0.0103320564151301</v>
      </c>
      <c r="I1843" t="n">
        <v>0.7323464979954878</v>
      </c>
      <c r="J1843" t="n">
        <v>0.2756141886478948</v>
      </c>
      <c r="K1843" t="n">
        <v>0.1487483949597698</v>
      </c>
      <c r="L1843" t="b">
        <v>0</v>
      </c>
      <c r="M1843" t="b">
        <v>0</v>
      </c>
      <c r="N1843" t="inlineStr">
        <is>
          <t>alt</t>
        </is>
      </c>
      <c r="O1843" t="n">
        <v>-75</v>
      </c>
      <c r="P1843" t="n">
        <v>0.002275</v>
      </c>
      <c r="Q1843" t="n">
        <v>25</v>
      </c>
      <c r="R1843" t="n">
        <v>0.06122</v>
      </c>
      <c r="S1843">
        <f>IMAGE("https://mitra.stanford.edu/kundaje/oak/projects/neuro-variants/variant_position/credible/roussos_2024/variant_figures/roussos_2024.adolescence.Astrocyte/rs75010486_count_position.png",4,220,900)</f>
        <v/>
      </c>
      <c r="T1843">
        <f>IMAGE("https://mitra.stanford.edu/kundaje/oak/projects/neuro-variants/variant_position/credible/roussos_2024/variant_figures/roussos_2024.adolescence.Astrocyte/rs75010486_profile_position.png",4,220,900)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0.0540953846</v>
      </c>
      <c r="G1844" t="n">
        <v>0.2202582913702176</v>
      </c>
      <c r="H1844" t="n">
        <v>0.0114265961460192</v>
      </c>
      <c r="I1844" t="n">
        <v>0.603335431547271</v>
      </c>
      <c r="J1844" t="n">
        <v>0.0700516274515621</v>
      </c>
      <c r="K1844" t="n">
        <v>0.391353517996428</v>
      </c>
      <c r="L1844" t="b">
        <v>0</v>
      </c>
      <c r="M1844" t="b">
        <v>0</v>
      </c>
      <c r="N1844" t="inlineStr">
        <is>
          <t>alt</t>
        </is>
      </c>
      <c r="O1844" t="n">
        <v>85</v>
      </c>
      <c r="P1844" t="n">
        <v>0.01393</v>
      </c>
      <c r="Q1844" t="n">
        <v>90</v>
      </c>
      <c r="R1844" t="n">
        <v>0.1549</v>
      </c>
      <c r="S1844">
        <f>IMAGE("https://mitra.stanford.edu/kundaje/oak/projects/neuro-variants/variant_position/credible/roussos_2024/variant_figures/roussos_2024.adolescence.Astrocyte/rs79772576_count_position.png",4,220,900)</f>
        <v/>
      </c>
      <c r="T1844">
        <f>IMAGE("https://mitra.stanford.edu/kundaje/oak/projects/neuro-variants/variant_position/credible/roussos_2024/variant_figures/roussos_2024.adolescence.Astrocyte/rs79772576_profile_position.png",4,220,900)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-0.0042435787999999</v>
      </c>
      <c r="G1845" t="n">
        <v>0.4353372908890159</v>
      </c>
      <c r="H1845" t="n">
        <v>0.0107348644322707</v>
      </c>
      <c r="I1845" t="n">
        <v>0.6740257208425241</v>
      </c>
      <c r="J1845" t="n">
        <v>0.3843181615879892</v>
      </c>
      <c r="K1845" t="n">
        <v>0.09472364388376429</v>
      </c>
      <c r="L1845" t="b">
        <v>0</v>
      </c>
      <c r="M1845" t="b">
        <v>0</v>
      </c>
      <c r="N1845" t="inlineStr">
        <is>
          <t>ref</t>
        </is>
      </c>
      <c r="O1845" t="n">
        <v>-100</v>
      </c>
      <c r="P1845" t="n">
        <v>0.095</v>
      </c>
      <c r="Q1845" t="n">
        <v>100</v>
      </c>
      <c r="R1845" t="n">
        <v>0.1637</v>
      </c>
      <c r="S1845">
        <f>IMAGE("https://mitra.stanford.edu/kundaje/oak/projects/neuro-variants/variant_position/credible/roussos_2024/variant_figures/roussos_2024.adolescence.Astrocyte/rs34579536_count_position.png",4,220,900)</f>
        <v/>
      </c>
      <c r="T1845">
        <f>IMAGE("https://mitra.stanford.edu/kundaje/oak/projects/neuro-variants/variant_position/credible/roussos_2024/variant_figures/roussos_2024.adolescence.Astrocyte/rs34579536_profile_position.png",4,220,900)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-0.04654998972</v>
      </c>
      <c r="G1846" t="n">
        <v>0.2666525505213626</v>
      </c>
      <c r="H1846" t="n">
        <v>0.009853883010428501</v>
      </c>
      <c r="I1846" t="n">
        <v>0.7270861090506135</v>
      </c>
      <c r="J1846" t="n">
        <v>0.0252091801916742</v>
      </c>
      <c r="K1846" t="n">
        <v>0.5523283230794588</v>
      </c>
      <c r="L1846" t="b">
        <v>0</v>
      </c>
      <c r="M1846" t="b">
        <v>0</v>
      </c>
      <c r="N1846" t="inlineStr">
        <is>
          <t>ref</t>
        </is>
      </c>
      <c r="O1846" t="n">
        <v>15</v>
      </c>
      <c r="P1846" t="n">
        <v>0.00702</v>
      </c>
      <c r="Q1846" t="n">
        <v>-35</v>
      </c>
      <c r="R1846" t="n">
        <v>0.02612</v>
      </c>
      <c r="S1846">
        <f>IMAGE("https://mitra.stanford.edu/kundaje/oak/projects/neuro-variants/variant_position/credible/roussos_2024/variant_figures/roussos_2024.adolescence.Astrocyte/rs62062321_count_position.png",4,220,900)</f>
        <v/>
      </c>
      <c r="T1846">
        <f>IMAGE("https://mitra.stanford.edu/kundaje/oak/projects/neuro-variants/variant_position/credible/roussos_2024/variant_figures/roussos_2024.adolescence.Astrocyte/rs62062321_profile_position.png",4,220,900)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-0.013933988</v>
      </c>
      <c r="G1847" t="n">
        <v>0.672632443594442</v>
      </c>
      <c r="H1847" t="n">
        <v>0.0261070062819832</v>
      </c>
      <c r="I1847" t="n">
        <v>0.0535899949966863</v>
      </c>
      <c r="J1847" t="n">
        <v>0.0552673352520546</v>
      </c>
      <c r="K1847" t="n">
        <v>0.417854593370435</v>
      </c>
      <c r="L1847" t="b">
        <v>0</v>
      </c>
      <c r="M1847" t="b">
        <v>0</v>
      </c>
      <c r="N1847" t="inlineStr">
        <is>
          <t>ref</t>
        </is>
      </c>
      <c r="O1847" t="n">
        <v>100</v>
      </c>
      <c r="P1847" t="n">
        <v>0.06256</v>
      </c>
      <c r="Q1847" t="n">
        <v>95</v>
      </c>
      <c r="R1847" t="n">
        <v>0.77</v>
      </c>
      <c r="S1847">
        <f>IMAGE("https://mitra.stanford.edu/kundaje/oak/projects/neuro-variants/variant_position/credible/roussos_2024/variant_figures/roussos_2024.adolescence.Astrocyte/rs62062322_count_position.png",4,220,900)</f>
        <v/>
      </c>
      <c r="T1847">
        <f>IMAGE("https://mitra.stanford.edu/kundaje/oak/projects/neuro-variants/variant_position/credible/roussos_2024/variant_figures/roussos_2024.adolescence.Astrocyte/rs62062322_profile_position.png",4,220,900)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-0.0154212818399999</v>
      </c>
      <c r="G1848" t="n">
        <v>0.6099357987934013</v>
      </c>
      <c r="H1848" t="n">
        <v>0.0102144256583025</v>
      </c>
      <c r="I1848" t="n">
        <v>0.7250424270172354</v>
      </c>
      <c r="J1848" t="n">
        <v>0.0403651010295818</v>
      </c>
      <c r="K1848" t="n">
        <v>0.4748116518381891</v>
      </c>
      <c r="L1848" t="b">
        <v>0</v>
      </c>
      <c r="M1848" t="b">
        <v>0</v>
      </c>
      <c r="N1848" t="inlineStr">
        <is>
          <t>ref</t>
        </is>
      </c>
      <c r="O1848" t="n">
        <v>-85</v>
      </c>
      <c r="P1848" t="n">
        <v>0.01159</v>
      </c>
      <c r="Q1848" t="n">
        <v>10</v>
      </c>
      <c r="R1848" t="n">
        <v>0.02698</v>
      </c>
      <c r="S1848">
        <f>IMAGE("https://mitra.stanford.edu/kundaje/oak/projects/neuro-variants/variant_position/credible/roussos_2024/variant_figures/roussos_2024.adolescence.Astrocyte/rs8077487_count_position.png",4,220,900)</f>
        <v/>
      </c>
      <c r="T1848">
        <f>IMAGE("https://mitra.stanford.edu/kundaje/oak/projects/neuro-variants/variant_position/credible/roussos_2024/variant_figures/roussos_2024.adolescence.Astrocyte/rs8077487_profile_position.png",4,220,900)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-0.0441335556</v>
      </c>
      <c r="G1849" t="n">
        <v>0.273224078989897</v>
      </c>
      <c r="H1849" t="n">
        <v>0.039526808087292</v>
      </c>
      <c r="I1849" t="n">
        <v>0.0099857633910082</v>
      </c>
      <c r="J1849" t="n">
        <v>0.329095332759695</v>
      </c>
      <c r="K1849" t="n">
        <v>0.1174623478781981</v>
      </c>
      <c r="L1849" t="b">
        <v>1</v>
      </c>
      <c r="M1849" t="b">
        <v>1</v>
      </c>
      <c r="N1849" t="inlineStr">
        <is>
          <t>ref</t>
        </is>
      </c>
      <c r="O1849" t="n">
        <v>100</v>
      </c>
      <c r="P1849" t="n">
        <v>0.05203</v>
      </c>
      <c r="Q1849" t="n">
        <v>70</v>
      </c>
      <c r="R1849" t="n">
        <v>0.517</v>
      </c>
      <c r="S1849">
        <f>IMAGE("https://mitra.stanford.edu/kundaje/oak/projects/neuro-variants/variant_position/credible/roussos_2024/variant_figures/roussos_2024.adolescence.Astrocyte/rs7221390_count_position.png",4,220,900)</f>
        <v/>
      </c>
      <c r="T1849">
        <f>IMAGE("https://mitra.stanford.edu/kundaje/oak/projects/neuro-variants/variant_position/credible/roussos_2024/variant_figures/roussos_2024.adolescence.Astrocyte/rs7221390_profile_position.png",4,220,900)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-0.03733226076</v>
      </c>
      <c r="G1850" t="n">
        <v>0.3327077989939148</v>
      </c>
      <c r="H1850" t="n">
        <v>0.0159216212866158</v>
      </c>
      <c r="I1850" t="n">
        <v>0.275712868154002</v>
      </c>
      <c r="J1850" t="n">
        <v>0.0382480788060409</v>
      </c>
      <c r="K1850" t="n">
        <v>0.5104418887381901</v>
      </c>
      <c r="L1850" t="b">
        <v>0</v>
      </c>
      <c r="M1850" t="b">
        <v>0</v>
      </c>
      <c r="N1850" t="inlineStr">
        <is>
          <t>ref</t>
        </is>
      </c>
      <c r="O1850" t="n">
        <v>-25</v>
      </c>
      <c r="P1850" t="n">
        <v>0.003517</v>
      </c>
      <c r="Q1850" t="n">
        <v>40</v>
      </c>
      <c r="R1850" t="n">
        <v>0.06909999999999999</v>
      </c>
      <c r="S1850">
        <f>IMAGE("https://mitra.stanford.edu/kundaje/oak/projects/neuro-variants/variant_position/credible/roussos_2024/variant_figures/roussos_2024.adolescence.Astrocyte/rs62062137_count_position.png",4,220,900)</f>
        <v/>
      </c>
      <c r="T1850">
        <f>IMAGE("https://mitra.stanford.edu/kundaje/oak/projects/neuro-variants/variant_position/credible/roussos_2024/variant_figures/roussos_2024.adolescence.Astrocyte/rs62062137_profile_position.png",4,220,900)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-0.0191925562</v>
      </c>
      <c r="G1851" t="n">
        <v>0.5528362939870989</v>
      </c>
      <c r="H1851" t="n">
        <v>0.0149228265444592</v>
      </c>
      <c r="I1851" t="n">
        <v>0.3300710272993728</v>
      </c>
      <c r="J1851" t="n">
        <v>0.0225640150728421</v>
      </c>
      <c r="K1851" t="n">
        <v>0.5845118485392933</v>
      </c>
      <c r="L1851" t="b">
        <v>0</v>
      </c>
      <c r="M1851" t="b">
        <v>0</v>
      </c>
      <c r="N1851" t="inlineStr">
        <is>
          <t>ref</t>
        </is>
      </c>
      <c r="O1851" t="n">
        <v>-95</v>
      </c>
      <c r="P1851" t="n">
        <v>0.00476</v>
      </c>
      <c r="Q1851" t="n">
        <v>50</v>
      </c>
      <c r="R1851" t="n">
        <v>0.02219</v>
      </c>
      <c r="S1851">
        <f>IMAGE("https://mitra.stanford.edu/kundaje/oak/projects/neuro-variants/variant_position/credible/roussos_2024/variant_figures/roussos_2024.adolescence.Astrocyte/rs55893711_count_position.png",4,220,900)</f>
        <v/>
      </c>
      <c r="T1851">
        <f>IMAGE("https://mitra.stanford.edu/kundaje/oak/projects/neuro-variants/variant_position/credible/roussos_2024/variant_figures/roussos_2024.adolescence.Astrocyte/rs55893711_profile_position.png",4,220,900)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0.1066511414</v>
      </c>
      <c r="G1852" t="n">
        <v>0.0750800225445651</v>
      </c>
      <c r="H1852" t="n">
        <v>0.0133460239772876</v>
      </c>
      <c r="I1852" t="n">
        <v>0.4328836514261314</v>
      </c>
      <c r="J1852" t="n">
        <v>0.0119922558822656</v>
      </c>
      <c r="K1852" t="n">
        <v>0.6601527226465448</v>
      </c>
      <c r="L1852" t="b">
        <v>0</v>
      </c>
      <c r="M1852" t="b">
        <v>0</v>
      </c>
      <c r="N1852" t="inlineStr">
        <is>
          <t>alt</t>
        </is>
      </c>
      <c r="O1852" t="n">
        <v>-100</v>
      </c>
      <c r="P1852" t="n">
        <v>0.002533</v>
      </c>
      <c r="Q1852" t="n">
        <v>80</v>
      </c>
      <c r="R1852" t="n">
        <v>0.2021</v>
      </c>
      <c r="S1852">
        <f>IMAGE("https://mitra.stanford.edu/kundaje/oak/projects/neuro-variants/variant_position/credible/roussos_2024/variant_figures/roussos_2024.adolescence.Astrocyte/rs62063670_count_position.png",4,220,900)</f>
        <v/>
      </c>
      <c r="T1852">
        <f>IMAGE("https://mitra.stanford.edu/kundaje/oak/projects/neuro-variants/variant_position/credible/roussos_2024/variant_figures/roussos_2024.adolescence.Astrocyte/rs62063670_profile_position.png",4,220,900)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0.09873922439999989</v>
      </c>
      <c r="G1853" t="n">
        <v>0.0848087887031798</v>
      </c>
      <c r="H1853" t="n">
        <v>0.0263697536419358</v>
      </c>
      <c r="I1853" t="n">
        <v>0.0554219897099663</v>
      </c>
      <c r="J1853" t="n">
        <v>0.0033364982345784</v>
      </c>
      <c r="K1853" t="n">
        <v>0.7814363180706394</v>
      </c>
      <c r="L1853" t="b">
        <v>0</v>
      </c>
      <c r="M1853" t="b">
        <v>0</v>
      </c>
      <c r="N1853" t="inlineStr">
        <is>
          <t>alt</t>
        </is>
      </c>
      <c r="O1853" t="n">
        <v>65</v>
      </c>
      <c r="P1853" t="n">
        <v>0.00822</v>
      </c>
      <c r="Q1853" t="n">
        <v>-45</v>
      </c>
      <c r="R1853" t="n">
        <v>0.11914</v>
      </c>
      <c r="S1853">
        <f>IMAGE("https://mitra.stanford.edu/kundaje/oak/projects/neuro-variants/variant_position/credible/roussos_2024/variant_figures/roussos_2024.adolescence.Astrocyte/rs79065019_count_position.png",4,220,900)</f>
        <v/>
      </c>
      <c r="T1853">
        <f>IMAGE("https://mitra.stanford.edu/kundaje/oak/projects/neuro-variants/variant_position/credible/roussos_2024/variant_figures/roussos_2024.adolescence.Astrocyte/rs79065019_profile_position.png",4,220,900)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0.0017588376599999</v>
      </c>
      <c r="G1854" t="n">
        <v>0.8792544862015867</v>
      </c>
      <c r="H1854" t="n">
        <v>0.0285759947842281</v>
      </c>
      <c r="I1854" t="n">
        <v>0.0378855941909427</v>
      </c>
      <c r="J1854" t="n">
        <v>0.0045092425006675</v>
      </c>
      <c r="K1854" t="n">
        <v>0.7483181400932895</v>
      </c>
      <c r="L1854" t="b">
        <v>0</v>
      </c>
      <c r="M1854" t="b">
        <v>0</v>
      </c>
      <c r="N1854" t="inlineStr">
        <is>
          <t>alt</t>
        </is>
      </c>
      <c r="O1854" t="n">
        <v>100</v>
      </c>
      <c r="P1854" t="n">
        <v>0.0634</v>
      </c>
      <c r="Q1854" t="n">
        <v>-95</v>
      </c>
      <c r="R1854" t="n">
        <v>0.129</v>
      </c>
      <c r="S1854">
        <f>IMAGE("https://mitra.stanford.edu/kundaje/oak/projects/neuro-variants/variant_position/credible/roussos_2024/variant_figures/roussos_2024.adolescence.Astrocyte/rs111259120_count_position.png",4,220,900)</f>
        <v/>
      </c>
      <c r="T1854">
        <f>IMAGE("https://mitra.stanford.edu/kundaje/oak/projects/neuro-variants/variant_position/credible/roussos_2024/variant_figures/roussos_2024.adolescence.Astrocyte/rs111259120_profile_position.png",4,220,900)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-0.008911082000000001</v>
      </c>
      <c r="G1855" t="n">
        <v>0.5500695926004529</v>
      </c>
      <c r="H1855" t="n">
        <v>0.0191071266220647</v>
      </c>
      <c r="I1855" t="n">
        <v>0.1611102551766792</v>
      </c>
      <c r="J1855" t="n">
        <v>0.1092617867845592</v>
      </c>
      <c r="K1855" t="n">
        <v>0.3063289879340815</v>
      </c>
      <c r="L1855" t="b">
        <v>0</v>
      </c>
      <c r="M1855" t="b">
        <v>0</v>
      </c>
      <c r="N1855" t="inlineStr">
        <is>
          <t>ref</t>
        </is>
      </c>
      <c r="O1855" t="n">
        <v>-95</v>
      </c>
      <c r="P1855" t="n">
        <v>0.0851</v>
      </c>
      <c r="Q1855" t="n">
        <v>-30</v>
      </c>
      <c r="R1855" t="n">
        <v>0.06850000000000001</v>
      </c>
      <c r="S1855">
        <f>IMAGE("https://mitra.stanford.edu/kundaje/oak/projects/neuro-variants/variant_position/credible/roussos_2024/variant_figures/roussos_2024.adolescence.Astrocyte/rs111372048_count_position.png",4,220,900)</f>
        <v/>
      </c>
      <c r="T1855">
        <f>IMAGE("https://mitra.stanford.edu/kundaje/oak/projects/neuro-variants/variant_position/credible/roussos_2024/variant_figures/roussos_2024.adolescence.Astrocyte/rs111372048_profile_position.png",4,220,900)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0.03698985008</v>
      </c>
      <c r="G1856" t="n">
        <v>0.362046883002627</v>
      </c>
      <c r="H1856" t="n">
        <v>0.0107395967833643</v>
      </c>
      <c r="I1856" t="n">
        <v>0.6575356769687808</v>
      </c>
      <c r="J1856" t="n">
        <v>0.1137272646351956</v>
      </c>
      <c r="K1856" t="n">
        <v>0.2986127695184195</v>
      </c>
      <c r="L1856" t="b">
        <v>0</v>
      </c>
      <c r="M1856" t="b">
        <v>0</v>
      </c>
      <c r="N1856" t="inlineStr">
        <is>
          <t>alt</t>
        </is>
      </c>
      <c r="O1856" t="n">
        <v>-100</v>
      </c>
      <c r="P1856" t="n">
        <v>0.09143</v>
      </c>
      <c r="Q1856" t="n">
        <v>-90</v>
      </c>
      <c r="R1856" t="n">
        <v>0.3389</v>
      </c>
      <c r="S1856">
        <f>IMAGE("https://mitra.stanford.edu/kundaje/oak/projects/neuro-variants/variant_position/credible/roussos_2024/variant_figures/roussos_2024.adolescence.Astrocyte/rs62060785_count_position.png",4,220,900)</f>
        <v/>
      </c>
      <c r="T1856">
        <f>IMAGE("https://mitra.stanford.edu/kundaje/oak/projects/neuro-variants/variant_position/credible/roussos_2024/variant_figures/roussos_2024.adolescence.Astrocyte/rs62060785_profile_position.png",4,220,900)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0.0170355532</v>
      </c>
      <c r="G1857" t="n">
        <v>0.5941014329225645</v>
      </c>
      <c r="H1857" t="n">
        <v>0.0097247628315113</v>
      </c>
      <c r="I1857" t="n">
        <v>0.7861348550484936</v>
      </c>
      <c r="J1857" t="n">
        <v>0.1592232145506334</v>
      </c>
      <c r="K1857" t="n">
        <v>0.2457310296658565</v>
      </c>
      <c r="L1857" t="b">
        <v>0</v>
      </c>
      <c r="M1857" t="b">
        <v>0</v>
      </c>
      <c r="N1857" t="inlineStr">
        <is>
          <t>alt</t>
        </is>
      </c>
      <c r="O1857" t="n">
        <v>0</v>
      </c>
      <c r="P1857" t="n">
        <v>0</v>
      </c>
      <c r="Q1857" t="n">
        <v>0</v>
      </c>
      <c r="R1857" t="n">
        <v>0</v>
      </c>
      <c r="S1857">
        <f>IMAGE("https://mitra.stanford.edu/kundaje/oak/projects/neuro-variants/variant_position/credible/roussos_2024/variant_figures/roussos_2024.adolescence.Astrocyte/rs2838_count_position.png",4,220,900)</f>
        <v/>
      </c>
      <c r="T1857">
        <f>IMAGE("https://mitra.stanford.edu/kundaje/oak/projects/neuro-variants/variant_position/credible/roussos_2024/variant_figures/roussos_2024.adolescence.Astrocyte/rs2838_profile_position.png",4,220,900)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-0.01277149226</v>
      </c>
      <c r="G1858" t="n">
        <v>0.6729900681975376</v>
      </c>
      <c r="H1858" t="n">
        <v>0.0067090356610548</v>
      </c>
      <c r="I1858" t="n">
        <v>0.9854359072879064</v>
      </c>
      <c r="J1858" t="n">
        <v>0.0406180458712873</v>
      </c>
      <c r="K1858" t="n">
        <v>0.465350497348062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0.01743</v>
      </c>
      <c r="Q1858" t="n">
        <v>-15</v>
      </c>
      <c r="R1858" t="n">
        <v>0.005722</v>
      </c>
      <c r="S1858">
        <f>IMAGE("https://mitra.stanford.edu/kundaje/oak/projects/neuro-variants/variant_position/credible/roussos_2024/variant_figures/roussos_2024.adolescence.Astrocyte/rs76307183_count_position.png",4,220,900)</f>
        <v/>
      </c>
      <c r="T1858">
        <f>IMAGE("https://mitra.stanford.edu/kundaje/oak/projects/neuro-variants/variant_position/credible/roussos_2024/variant_figures/roussos_2024.adolescence.Astrocyte/rs76307183_profile_position.png",4,220,900)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0.026772337</v>
      </c>
      <c r="G1859" t="n">
        <v>0.4414481522392948</v>
      </c>
      <c r="H1859" t="n">
        <v>0.0124510931976934</v>
      </c>
      <c r="I1859" t="n">
        <v>0.5156943146069828</v>
      </c>
      <c r="J1859" t="n">
        <v>0.0016519300952436</v>
      </c>
      <c r="K1859" t="n">
        <v>0.8389322353203892</v>
      </c>
      <c r="L1859" t="b">
        <v>0</v>
      </c>
      <c r="M1859" t="b">
        <v>0</v>
      </c>
      <c r="N1859" t="inlineStr">
        <is>
          <t>alt</t>
        </is>
      </c>
      <c r="O1859" t="n">
        <v>60</v>
      </c>
      <c r="P1859" t="n">
        <v>0.0005836</v>
      </c>
      <c r="Q1859" t="n">
        <v>85</v>
      </c>
      <c r="R1859" t="n">
        <v>0.0707</v>
      </c>
      <c r="S1859">
        <f>IMAGE("https://mitra.stanford.edu/kundaje/oak/projects/neuro-variants/variant_position/credible/roussos_2024/variant_figures/roussos_2024.adolescence.Astrocyte/rs62060802_count_position.png",4,220,900)</f>
        <v/>
      </c>
      <c r="T1859">
        <f>IMAGE("https://mitra.stanford.edu/kundaje/oak/projects/neuro-variants/variant_position/credible/roussos_2024/variant_figures/roussos_2024.adolescence.Astrocyte/rs62060802_profile_position.png",4,220,900)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0.112550526</v>
      </c>
      <c r="G1860" t="n">
        <v>0.0613662747177857</v>
      </c>
      <c r="H1860" t="n">
        <v>0.0126406186051175</v>
      </c>
      <c r="I1860" t="n">
        <v>0.491330593725149</v>
      </c>
      <c r="J1860" t="n">
        <v>0.007962940984481999</v>
      </c>
      <c r="K1860" t="n">
        <v>0.685683736878012</v>
      </c>
      <c r="L1860" t="b">
        <v>0</v>
      </c>
      <c r="M1860" t="b">
        <v>0</v>
      </c>
      <c r="N1860" t="inlineStr">
        <is>
          <t>alt</t>
        </is>
      </c>
      <c r="O1860" t="n">
        <v>100</v>
      </c>
      <c r="P1860" t="n">
        <v>0.03009</v>
      </c>
      <c r="Q1860" t="n">
        <v>70</v>
      </c>
      <c r="R1860" t="n">
        <v>0.1069</v>
      </c>
      <c r="S1860">
        <f>IMAGE("https://mitra.stanford.edu/kundaje/oak/projects/neuro-variants/variant_position/credible/roussos_2024/variant_figures/roussos_2024.adolescence.Astrocyte/rs62060840_count_position.png",4,220,900)</f>
        <v/>
      </c>
      <c r="T1860">
        <f>IMAGE("https://mitra.stanford.edu/kundaje/oak/projects/neuro-variants/variant_position/credible/roussos_2024/variant_figures/roussos_2024.adolescence.Astrocyte/rs62060840_profile_position.png",4,220,900)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0.126560032</v>
      </c>
      <c r="G1861" t="n">
        <v>0.0594377528561321</v>
      </c>
      <c r="H1861" t="n">
        <v>0.0159587486519306</v>
      </c>
      <c r="I1861" t="n">
        <v>0.2757935560928807</v>
      </c>
      <c r="J1861" t="n">
        <v>0.0356600302643681</v>
      </c>
      <c r="K1861" t="n">
        <v>0.4882689479704789</v>
      </c>
      <c r="L1861" t="b">
        <v>0</v>
      </c>
      <c r="M1861" t="b">
        <v>0</v>
      </c>
      <c r="N1861" t="inlineStr">
        <is>
          <t>alt</t>
        </is>
      </c>
      <c r="O1861" t="n">
        <v>90</v>
      </c>
      <c r="P1861" t="n">
        <v>0.00495</v>
      </c>
      <c r="Q1861" t="n">
        <v>100</v>
      </c>
      <c r="R1861" t="n">
        <v>0.10516</v>
      </c>
      <c r="S1861">
        <f>IMAGE("https://mitra.stanford.edu/kundaje/oak/projects/neuro-variants/variant_position/credible/roussos_2024/variant_figures/roussos_2024.adolescence.Astrocyte/rs17576165_count_position.png",4,220,900)</f>
        <v/>
      </c>
      <c r="T1861">
        <f>IMAGE("https://mitra.stanford.edu/kundaje/oak/projects/neuro-variants/variant_position/credible/roussos_2024/variant_figures/roussos_2024.adolescence.Astrocyte/rs17576165_profile_position.png",4,220,900)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0.03602305554</v>
      </c>
      <c r="G1862" t="n">
        <v>0.3878962497221743</v>
      </c>
      <c r="H1862" t="n">
        <v>0.0175339206132801</v>
      </c>
      <c r="I1862" t="n">
        <v>0.2129457535060109</v>
      </c>
      <c r="J1862" t="n">
        <v>0.0034084502863246</v>
      </c>
      <c r="K1862" t="n">
        <v>0.7757023718325291</v>
      </c>
      <c r="L1862" t="b">
        <v>0</v>
      </c>
      <c r="M1862" t="b">
        <v>0</v>
      </c>
      <c r="N1862" t="inlineStr">
        <is>
          <t>alt</t>
        </is>
      </c>
      <c r="O1862" t="n">
        <v>-50</v>
      </c>
      <c r="P1862" t="n">
        <v>0.007774</v>
      </c>
      <c r="Q1862" t="n">
        <v>-5</v>
      </c>
      <c r="R1862" t="n">
        <v>0.01453</v>
      </c>
      <c r="S1862">
        <f>IMAGE("https://mitra.stanford.edu/kundaje/oak/projects/neuro-variants/variant_position/credible/roussos_2024/variant_figures/roussos_2024.adolescence.Astrocyte/rs62061812_count_position.png",4,220,900)</f>
        <v/>
      </c>
      <c r="T1862">
        <f>IMAGE("https://mitra.stanford.edu/kundaje/oak/projects/neuro-variants/variant_position/credible/roussos_2024/variant_figures/roussos_2024.adolescence.Astrocyte/rs62061812_profile_position.png",4,220,900)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0.00106478376</v>
      </c>
      <c r="G1863" t="n">
        <v>0.6294827747299938</v>
      </c>
      <c r="H1863" t="n">
        <v>0.0315836616746648</v>
      </c>
      <c r="I1863" t="n">
        <v>0.025438596213347</v>
      </c>
      <c r="J1863" t="n">
        <v>0.086606533543008</v>
      </c>
      <c r="K1863" t="n">
        <v>0.3537652384299272</v>
      </c>
      <c r="L1863" t="b">
        <v>0</v>
      </c>
      <c r="M1863" t="b">
        <v>0</v>
      </c>
      <c r="N1863" t="inlineStr">
        <is>
          <t>alt</t>
        </is>
      </c>
      <c r="O1863" t="n">
        <v>-45</v>
      </c>
      <c r="P1863" t="n">
        <v>0.01039</v>
      </c>
      <c r="Q1863" t="n">
        <v>-70</v>
      </c>
      <c r="R1863" t="n">
        <v>0.10333</v>
      </c>
      <c r="S1863">
        <f>IMAGE("https://mitra.stanford.edu/kundaje/oak/projects/neuro-variants/variant_position/credible/roussos_2024/variant_figures/roussos_2024.adolescence.Astrocyte/rs17576989_count_position.png",4,220,900)</f>
        <v/>
      </c>
      <c r="T1863">
        <f>IMAGE("https://mitra.stanford.edu/kundaje/oak/projects/neuro-variants/variant_position/credible/roussos_2024/variant_figures/roussos_2024.adolescence.Astrocyte/rs17576989_profile_position.png",4,220,900)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0.03294013348</v>
      </c>
      <c r="G1864" t="n">
        <v>0.3597379124041448</v>
      </c>
      <c r="H1864" t="n">
        <v>0.0125091526938345</v>
      </c>
      <c r="I1864" t="n">
        <v>0.4973435838789868</v>
      </c>
      <c r="J1864" t="n">
        <v>0.0179561166661721</v>
      </c>
      <c r="K1864" t="n">
        <v>0.596614256113503</v>
      </c>
      <c r="L1864" t="b">
        <v>0</v>
      </c>
      <c r="M1864" t="b">
        <v>0</v>
      </c>
      <c r="N1864" t="inlineStr">
        <is>
          <t>alt</t>
        </is>
      </c>
      <c r="O1864" t="n">
        <v>-100</v>
      </c>
      <c r="P1864" t="n">
        <v>0.006546</v>
      </c>
      <c r="Q1864" t="n">
        <v>90</v>
      </c>
      <c r="R1864" t="n">
        <v>0.02844</v>
      </c>
      <c r="S1864">
        <f>IMAGE("https://mitra.stanford.edu/kundaje/oak/projects/neuro-variants/variant_position/credible/roussos_2024/variant_figures/roussos_2024.adolescence.Astrocyte/rs111295615_count_position.png",4,220,900)</f>
        <v/>
      </c>
      <c r="T1864">
        <f>IMAGE("https://mitra.stanford.edu/kundaje/oak/projects/neuro-variants/variant_position/credible/roussos_2024/variant_figures/roussos_2024.adolescence.Astrocyte/rs111295615_profile_position.png",4,220,900)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0.0490496422</v>
      </c>
      <c r="G1865" t="n">
        <v>0.2387097002939171</v>
      </c>
      <c r="H1865" t="n">
        <v>0.0153397768178369</v>
      </c>
      <c r="I1865" t="n">
        <v>0.3056839725852454</v>
      </c>
      <c r="J1865" t="n">
        <v>0.0094798682609856</v>
      </c>
      <c r="K1865" t="n">
        <v>0.6634724119445914</v>
      </c>
      <c r="L1865" t="b">
        <v>0</v>
      </c>
      <c r="M1865" t="b">
        <v>0</v>
      </c>
      <c r="N1865" t="inlineStr">
        <is>
          <t>alt</t>
        </is>
      </c>
      <c r="O1865" t="n">
        <v>-65</v>
      </c>
      <c r="P1865" t="n">
        <v>0.01198</v>
      </c>
      <c r="Q1865" t="n">
        <v>-65</v>
      </c>
      <c r="R1865" t="n">
        <v>0.09375</v>
      </c>
      <c r="S1865">
        <f>IMAGE("https://mitra.stanford.edu/kundaje/oak/projects/neuro-variants/variant_position/credible/roussos_2024/variant_figures/roussos_2024.adolescence.Astrocyte/rs17577313_count_position.png",4,220,900)</f>
        <v/>
      </c>
      <c r="T1865">
        <f>IMAGE("https://mitra.stanford.edu/kundaje/oak/projects/neuro-variants/variant_position/credible/roussos_2024/variant_figures/roussos_2024.adolescence.Astrocyte/rs17577313_profile_position.png",4,220,900)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-0.017920012766</v>
      </c>
      <c r="G1866" t="n">
        <v>0.6170877750622302</v>
      </c>
      <c r="H1866" t="n">
        <v>0.0206875450635663</v>
      </c>
      <c r="I1866" t="n">
        <v>0.1225064279792791</v>
      </c>
      <c r="J1866" t="n">
        <v>0.0080475031896269</v>
      </c>
      <c r="K1866" t="n">
        <v>0.684607135303798</v>
      </c>
      <c r="L1866" t="b">
        <v>0</v>
      </c>
      <c r="M1866" t="b">
        <v>0</v>
      </c>
      <c r="N1866" t="inlineStr">
        <is>
          <t>ref</t>
        </is>
      </c>
      <c r="O1866" t="n">
        <v>80</v>
      </c>
      <c r="P1866" t="n">
        <v>0.0185</v>
      </c>
      <c r="Q1866" t="n">
        <v>-20</v>
      </c>
      <c r="R1866" t="n">
        <v>0.014404</v>
      </c>
      <c r="S1866">
        <f>IMAGE("https://mitra.stanford.edu/kundaje/oak/projects/neuro-variants/variant_position/credible/roussos_2024/variant_figures/roussos_2024.adolescence.Astrocyte/rs4548919_count_position.png",4,220,900)</f>
        <v/>
      </c>
      <c r="T1866">
        <f>IMAGE("https://mitra.stanford.edu/kundaje/oak/projects/neuro-variants/variant_position/credible/roussos_2024/variant_figures/roussos_2024.adolescence.Astrocyte/rs4548919_profile_position.png",4,220,900)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-0.0833650168</v>
      </c>
      <c r="G1867" t="n">
        <v>0.1105266023973679</v>
      </c>
      <c r="H1867" t="n">
        <v>0.015008844088564</v>
      </c>
      <c r="I1867" t="n">
        <v>0.3242933635829413</v>
      </c>
      <c r="J1867" t="n">
        <v>0.0455730943832892</v>
      </c>
      <c r="K1867" t="n">
        <v>0.4512380599768047</v>
      </c>
      <c r="L1867" t="b">
        <v>0</v>
      </c>
      <c r="M1867" t="b">
        <v>0</v>
      </c>
      <c r="N1867" t="inlineStr">
        <is>
          <t>ref</t>
        </is>
      </c>
      <c r="O1867" t="n">
        <v>95</v>
      </c>
      <c r="P1867" t="n">
        <v>0.003632</v>
      </c>
      <c r="Q1867" t="n">
        <v>-100</v>
      </c>
      <c r="R1867" t="n">
        <v>0.02777</v>
      </c>
      <c r="S1867">
        <f>IMAGE("https://mitra.stanford.edu/kundaje/oak/projects/neuro-variants/variant_position/credible/roussos_2024/variant_figures/roussos_2024.adolescence.Astrocyte/rs77560794_count_position.png",4,220,900)</f>
        <v/>
      </c>
      <c r="T1867">
        <f>IMAGE("https://mitra.stanford.edu/kundaje/oak/projects/neuro-variants/variant_position/credible/roussos_2024/variant_figures/roussos_2024.adolescence.Astrocyte/rs77560794_profile_position.png",4,220,900)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-0.149356786</v>
      </c>
      <c r="G1868" t="n">
        <v>0.0365253971092448</v>
      </c>
      <c r="H1868" t="n">
        <v>0.0343818711001517</v>
      </c>
      <c r="I1868" t="n">
        <v>0.0183158776927454</v>
      </c>
      <c r="J1868" t="n">
        <v>0.0343760199388778</v>
      </c>
      <c r="K1868" t="n">
        <v>0.5015403380844997</v>
      </c>
      <c r="L1868" t="b">
        <v>1</v>
      </c>
      <c r="M1868" t="b">
        <v>0</v>
      </c>
      <c r="N1868" t="inlineStr">
        <is>
          <t>ref</t>
        </is>
      </c>
      <c r="O1868" t="n">
        <v>-100</v>
      </c>
      <c r="P1868" t="n">
        <v>0.005257</v>
      </c>
      <c r="Q1868" t="n">
        <v>-80</v>
      </c>
      <c r="R1868" t="n">
        <v>0.1338</v>
      </c>
      <c r="S1868">
        <f>IMAGE("https://mitra.stanford.edu/kundaje/oak/projects/neuro-variants/variant_position/credible/roussos_2024/variant_figures/roussos_2024.adolescence.Astrocyte/rs3087534_count_position.png",4,220,900)</f>
        <v/>
      </c>
      <c r="T1868">
        <f>IMAGE("https://mitra.stanford.edu/kundaje/oak/projects/neuro-variants/variant_position/credible/roussos_2024/variant_figures/roussos_2024.adolescence.Astrocyte/rs3087534_profile_position.png",4,220,900)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-0.02092675628</v>
      </c>
      <c r="G1869" t="n">
        <v>0.5511127662994051</v>
      </c>
      <c r="H1869" t="n">
        <v>0.0105307143578926</v>
      </c>
      <c r="I1869" t="n">
        <v>0.6902269830121089</v>
      </c>
      <c r="J1869" t="n">
        <v>0.0033068272854048</v>
      </c>
      <c r="K1869" t="n">
        <v>0.787428503917272</v>
      </c>
      <c r="L1869" t="b">
        <v>0</v>
      </c>
      <c r="M1869" t="b">
        <v>0</v>
      </c>
      <c r="N1869" t="inlineStr">
        <is>
          <t>ref</t>
        </is>
      </c>
      <c r="O1869" t="n">
        <v>0</v>
      </c>
      <c r="P1869" t="n">
        <v>0</v>
      </c>
      <c r="Q1869" t="n">
        <v>-10</v>
      </c>
      <c r="R1869" t="n">
        <v>0.0373</v>
      </c>
      <c r="S1869">
        <f>IMAGE("https://mitra.stanford.edu/kundaje/oak/projects/neuro-variants/variant_position/credible/roussos_2024/variant_figures/roussos_2024.adolescence.Astrocyte/rs55672516_count_position.png",4,220,900)</f>
        <v/>
      </c>
      <c r="T1869">
        <f>IMAGE("https://mitra.stanford.edu/kundaje/oak/projects/neuro-variants/variant_position/credible/roussos_2024/variant_figures/roussos_2024.adolescence.Astrocyte/rs55672516_profile_position.png",4,220,900)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-0.204702954</v>
      </c>
      <c r="G1870" t="n">
        <v>0.0182853287179215</v>
      </c>
      <c r="H1870" t="n">
        <v>0.021244917201203</v>
      </c>
      <c r="I1870" t="n">
        <v>0.1174911914630519</v>
      </c>
      <c r="J1870" t="n">
        <v>0.2580608551167551</v>
      </c>
      <c r="K1870" t="n">
        <v>0.1581122879131588</v>
      </c>
      <c r="L1870" t="b">
        <v>1</v>
      </c>
      <c r="M1870" t="b">
        <v>0</v>
      </c>
      <c r="N1870" t="inlineStr">
        <is>
          <t>ref</t>
        </is>
      </c>
      <c r="O1870" t="n">
        <v>-55</v>
      </c>
      <c r="P1870" t="n">
        <v>0.1355</v>
      </c>
      <c r="Q1870" t="n">
        <v>95</v>
      </c>
      <c r="R1870" t="n">
        <v>0.08014</v>
      </c>
      <c r="S1870">
        <f>IMAGE("https://mitra.stanford.edu/kundaje/oak/projects/neuro-variants/variant_position/credible/roussos_2024/variant_figures/roussos_2024.adolescence.Astrocyte/rs2532307_count_position.png",4,220,900)</f>
        <v/>
      </c>
      <c r="T1870">
        <f>IMAGE("https://mitra.stanford.edu/kundaje/oak/projects/neuro-variants/variant_position/credible/roussos_2024/variant_figures/roussos_2024.adolescence.Astrocyte/rs2532307_profile_position.png",4,220,900)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-0.1562795174</v>
      </c>
      <c r="G1871" t="n">
        <v>0.0383715947732046</v>
      </c>
      <c r="H1871" t="n">
        <v>0.018918630563889</v>
      </c>
      <c r="I1871" t="n">
        <v>0.1699411171677964</v>
      </c>
      <c r="J1871" t="n">
        <v>0.065764917069697</v>
      </c>
      <c r="K1871" t="n">
        <v>0.3928937686128458</v>
      </c>
      <c r="L1871" t="b">
        <v>0</v>
      </c>
      <c r="M1871" t="b">
        <v>0</v>
      </c>
      <c r="N1871" t="inlineStr">
        <is>
          <t>ref</t>
        </is>
      </c>
      <c r="O1871" t="n">
        <v>90</v>
      </c>
      <c r="P1871" t="n">
        <v>0.03113</v>
      </c>
      <c r="Q1871" t="n">
        <v>-65</v>
      </c>
      <c r="R1871" t="n">
        <v>0.06836</v>
      </c>
      <c r="S1871">
        <f>IMAGE("https://mitra.stanford.edu/kundaje/oak/projects/neuro-variants/variant_position/credible/roussos_2024/variant_figures/roussos_2024.adolescence.Astrocyte/rs2532276_count_position.png",4,220,900)</f>
        <v/>
      </c>
      <c r="T1871">
        <f>IMAGE("https://mitra.stanford.edu/kundaje/oak/projects/neuro-variants/variant_position/credible/roussos_2024/variant_figures/roussos_2024.adolescence.Astrocyte/rs2532276_profile_position.png",4,220,900)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-0.0535960162</v>
      </c>
      <c r="G1872" t="n">
        <v>0.2392321623331406</v>
      </c>
      <c r="H1872" t="n">
        <v>0.0107127064607262</v>
      </c>
      <c r="I1872" t="n">
        <v>0.6818707454566176</v>
      </c>
      <c r="J1872" t="n">
        <v>0.086217844108833</v>
      </c>
      <c r="K1872" t="n">
        <v>0.3531630708946854</v>
      </c>
      <c r="L1872" t="b">
        <v>0</v>
      </c>
      <c r="M1872" t="b">
        <v>0</v>
      </c>
      <c r="N1872" t="inlineStr">
        <is>
          <t>ref</t>
        </is>
      </c>
      <c r="O1872" t="n">
        <v>-55</v>
      </c>
      <c r="P1872" t="n">
        <v>0.02661</v>
      </c>
      <c r="Q1872" t="n">
        <v>90</v>
      </c>
      <c r="R1872" t="n">
        <v>0.1357</v>
      </c>
      <c r="S1872">
        <f>IMAGE("https://mitra.stanford.edu/kundaje/oak/projects/neuro-variants/variant_position/credible/roussos_2024/variant_figures/roussos_2024.adolescence.Astrocyte/rs2696566_count_position.png",4,220,900)</f>
        <v/>
      </c>
      <c r="T1872">
        <f>IMAGE("https://mitra.stanford.edu/kundaje/oak/projects/neuro-variants/variant_position/credible/roussos_2024/variant_figures/roussos_2024.adolescence.Astrocyte/rs2696566_profile_position.png",4,220,900)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-0.0320475222</v>
      </c>
      <c r="G1873" t="n">
        <v>0.3770717357395317</v>
      </c>
      <c r="H1873" t="n">
        <v>0.009132692185061599</v>
      </c>
      <c r="I1873" t="n">
        <v>0.8234900374216928</v>
      </c>
      <c r="J1873" t="n">
        <v>0.0009168323294661</v>
      </c>
      <c r="K1873" t="n">
        <v>0.8770153423738637</v>
      </c>
      <c r="L1873" t="b">
        <v>0</v>
      </c>
      <c r="M1873" t="b">
        <v>0</v>
      </c>
      <c r="N1873" t="inlineStr">
        <is>
          <t>ref</t>
        </is>
      </c>
      <c r="O1873" t="n">
        <v>-60</v>
      </c>
      <c r="P1873" t="n">
        <v>0.0461</v>
      </c>
      <c r="Q1873" t="n">
        <v>-80</v>
      </c>
      <c r="R1873" t="n">
        <v>0.153</v>
      </c>
      <c r="S1873">
        <f>IMAGE("https://mitra.stanford.edu/kundaje/oak/projects/neuro-variants/variant_position/credible/roussos_2024/variant_figures/roussos_2024.adolescence.Astrocyte/rs199437_count_position.png",4,220,900)</f>
        <v/>
      </c>
      <c r="T1873">
        <f>IMAGE("https://mitra.stanford.edu/kundaje/oak/projects/neuro-variants/variant_position/credible/roussos_2024/variant_figures/roussos_2024.adolescence.Astrocyte/rs199437_profile_position.png",4,220,900)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-0.1077240666</v>
      </c>
      <c r="G1874" t="n">
        <v>0.0777928263501662</v>
      </c>
      <c r="H1874" t="n">
        <v>0.0114293619726515</v>
      </c>
      <c r="I1874" t="n">
        <v>0.6128568392847273</v>
      </c>
      <c r="J1874" t="n">
        <v>0.0047288075245526</v>
      </c>
      <c r="K1874" t="n">
        <v>0.745434889790358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0.011665</v>
      </c>
      <c r="Q1874" t="n">
        <v>-40</v>
      </c>
      <c r="R1874" t="n">
        <v>0.1156</v>
      </c>
      <c r="S1874">
        <f>IMAGE("https://mitra.stanford.edu/kundaje/oak/projects/neuro-variants/variant_position/credible/roussos_2024/variant_figures/roussos_2024.adolescence.Astrocyte/rs538628_count_position.png",4,220,900)</f>
        <v/>
      </c>
      <c r="T1874">
        <f>IMAGE("https://mitra.stanford.edu/kundaje/oak/projects/neuro-variants/variant_position/credible/roussos_2024/variant_figures/roussos_2024.adolescence.Astrocyte/rs538628_profile_position.png",4,220,900)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0.0423846424199999</v>
      </c>
      <c r="G1875" t="n">
        <v>0.2807412400430352</v>
      </c>
      <c r="H1875" t="n">
        <v>0.009366110577262899</v>
      </c>
      <c r="I1875" t="n">
        <v>0.7964977528491928</v>
      </c>
      <c r="J1875" t="n">
        <v>0.0125241076462035</v>
      </c>
      <c r="K1875" t="n">
        <v>0.6493615536958836</v>
      </c>
      <c r="L1875" t="b">
        <v>0</v>
      </c>
      <c r="M1875" t="b">
        <v>0</v>
      </c>
      <c r="N1875" t="inlineStr">
        <is>
          <t>alt</t>
        </is>
      </c>
      <c r="O1875" t="n">
        <v>90</v>
      </c>
      <c r="P1875" t="n">
        <v>0.007793</v>
      </c>
      <c r="Q1875" t="n">
        <v>40</v>
      </c>
      <c r="R1875" t="n">
        <v>0.06616</v>
      </c>
      <c r="S1875">
        <f>IMAGE("https://mitra.stanford.edu/kundaje/oak/projects/neuro-variants/variant_position/credible/roussos_2024/variant_figures/roussos_2024.adolescence.Astrocyte/rs199436_count_position.png",4,220,900)</f>
        <v/>
      </c>
      <c r="T1875">
        <f>IMAGE("https://mitra.stanford.edu/kundaje/oak/projects/neuro-variants/variant_position/credible/roussos_2024/variant_figures/roussos_2024.adolescence.Astrocyte/rs199436_profile_position.png",4,220,900)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-0.0234235066</v>
      </c>
      <c r="G1876" t="n">
        <v>0.4995994994234431</v>
      </c>
      <c r="H1876" t="n">
        <v>0.0180440780405908</v>
      </c>
      <c r="I1876" t="n">
        <v>0.1892831478505718</v>
      </c>
      <c r="J1876" t="n">
        <v>0.0045893540634364</v>
      </c>
      <c r="K1876" t="n">
        <v>0.7532019481917276</v>
      </c>
      <c r="L1876" t="b">
        <v>0</v>
      </c>
      <c r="M1876" t="b">
        <v>0</v>
      </c>
      <c r="N1876" t="inlineStr">
        <is>
          <t>ref</t>
        </is>
      </c>
      <c r="O1876" t="n">
        <v>100</v>
      </c>
      <c r="P1876" t="n">
        <v>0.0019455</v>
      </c>
      <c r="Q1876" t="n">
        <v>-45</v>
      </c>
      <c r="R1876" t="n">
        <v>0.06836</v>
      </c>
      <c r="S1876">
        <f>IMAGE("https://mitra.stanford.edu/kundaje/oak/projects/neuro-variants/variant_position/credible/roussos_2024/variant_figures/roussos_2024.adolescence.Astrocyte/rs199438_count_position.png",4,220,900)</f>
        <v/>
      </c>
      <c r="T1876">
        <f>IMAGE("https://mitra.stanford.edu/kundaje/oak/projects/neuro-variants/variant_position/credible/roussos_2024/variant_figures/roussos_2024.adolescence.Astrocyte/rs199438_profile_position.png",4,220,900)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0.2507327119999999</v>
      </c>
      <c r="G1877" t="n">
        <v>0.010833256595023</v>
      </c>
      <c r="H1877" t="n">
        <v>0.0213781375643794</v>
      </c>
      <c r="I1877" t="n">
        <v>0.1129593828091684</v>
      </c>
      <c r="J1877" t="n">
        <v>0.0675080853336497</v>
      </c>
      <c r="K1877" t="n">
        <v>0.3875713864879204</v>
      </c>
      <c r="L1877" t="b">
        <v>1</v>
      </c>
      <c r="M1877" t="b">
        <v>0</v>
      </c>
      <c r="N1877" t="inlineStr">
        <is>
          <t>alt</t>
        </is>
      </c>
      <c r="O1877" t="n">
        <v>-60</v>
      </c>
      <c r="P1877" t="n">
        <v>0.01418</v>
      </c>
      <c r="Q1877" t="n">
        <v>-60</v>
      </c>
      <c r="R1877" t="n">
        <v>0.1509</v>
      </c>
      <c r="S1877">
        <f>IMAGE("https://mitra.stanford.edu/kundaje/oak/projects/neuro-variants/variant_position/credible/roussos_2024/variant_figures/roussos_2024.adolescence.Astrocyte/rs199453_count_position.png",4,220,900)</f>
        <v/>
      </c>
      <c r="T1877">
        <f>IMAGE("https://mitra.stanford.edu/kundaje/oak/projects/neuro-variants/variant_position/credible/roussos_2024/variant_figures/roussos_2024.adolescence.Astrocyte/rs199453_profile_position.png",4,220,900)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-0.1185358874</v>
      </c>
      <c r="G1878" t="n">
        <v>0.0660217510905291</v>
      </c>
      <c r="H1878" t="n">
        <v>0.0190912499116021</v>
      </c>
      <c r="I1878" t="n">
        <v>0.1678282537221568</v>
      </c>
      <c r="J1878" t="n">
        <v>0.0103826068895943</v>
      </c>
      <c r="K1878" t="n">
        <v>0.6584687697206031</v>
      </c>
      <c r="L1878" t="b">
        <v>0</v>
      </c>
      <c r="M1878" t="b">
        <v>0</v>
      </c>
      <c r="N1878" t="inlineStr">
        <is>
          <t>ref</t>
        </is>
      </c>
      <c r="O1878" t="n">
        <v>-55</v>
      </c>
      <c r="P1878" t="n">
        <v>0.001083</v>
      </c>
      <c r="Q1878" t="n">
        <v>-95</v>
      </c>
      <c r="R1878" t="n">
        <v>0.07825</v>
      </c>
      <c r="S1878">
        <f>IMAGE("https://mitra.stanford.edu/kundaje/oak/projects/neuro-variants/variant_position/credible/roussos_2024/variant_figures/roussos_2024.adolescence.Astrocyte/rs199451_count_position.png",4,220,900)</f>
        <v/>
      </c>
      <c r="T1878">
        <f>IMAGE("https://mitra.stanford.edu/kundaje/oak/projects/neuro-variants/variant_position/credible/roussos_2024/variant_figures/roussos_2024.adolescence.Astrocyte/rs199451_profile_position.png",4,220,900)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-0.063941268</v>
      </c>
      <c r="G1879" t="n">
        <v>0.1811963880782735</v>
      </c>
      <c r="H1879" t="n">
        <v>0.0132852876505914</v>
      </c>
      <c r="I1879" t="n">
        <v>0.4407303330325121</v>
      </c>
      <c r="J1879" t="n">
        <v>0.0385395958816722</v>
      </c>
      <c r="K1879" t="n">
        <v>0.4838628231155809</v>
      </c>
      <c r="L1879" t="b">
        <v>0</v>
      </c>
      <c r="M1879" t="b">
        <v>0</v>
      </c>
      <c r="N1879" t="inlineStr">
        <is>
          <t>ref</t>
        </is>
      </c>
      <c r="O1879" t="n">
        <v>100</v>
      </c>
      <c r="P1879" t="n">
        <v>0.02771</v>
      </c>
      <c r="Q1879" t="n">
        <v>100</v>
      </c>
      <c r="R1879" t="n">
        <v>0.05606</v>
      </c>
      <c r="S1879">
        <f>IMAGE("https://mitra.stanford.edu/kundaje/oak/projects/neuro-variants/variant_position/credible/roussos_2024/variant_figures/roussos_2024.adolescence.Astrocyte/rs199442_count_position.png",4,220,900)</f>
        <v/>
      </c>
      <c r="T1879">
        <f>IMAGE("https://mitra.stanford.edu/kundaje/oak/projects/neuro-variants/variant_position/credible/roussos_2024/variant_figures/roussos_2024.adolescence.Astrocyte/rs199442_profile_position.png",4,220,900)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-0.0199209172</v>
      </c>
      <c r="G1880" t="n">
        <v>0.3356254918729862</v>
      </c>
      <c r="H1880" t="n">
        <v>0.0270348938731412</v>
      </c>
      <c r="I1880" t="n">
        <v>0.0466874231827547</v>
      </c>
      <c r="J1880" t="n">
        <v>0.0052332136605049</v>
      </c>
      <c r="K1880" t="n">
        <v>0.7456877489297665</v>
      </c>
      <c r="L1880" t="b">
        <v>0</v>
      </c>
      <c r="M1880" t="b">
        <v>0</v>
      </c>
      <c r="N1880" t="inlineStr">
        <is>
          <t>ref</t>
        </is>
      </c>
      <c r="O1880" t="n">
        <v>-95</v>
      </c>
      <c r="P1880" t="n">
        <v>0.013214</v>
      </c>
      <c r="Q1880" t="n">
        <v>30</v>
      </c>
      <c r="R1880" t="n">
        <v>0.05582</v>
      </c>
      <c r="S1880">
        <f>IMAGE("https://mitra.stanford.edu/kundaje/oak/projects/neuro-variants/variant_position/credible/roussos_2024/variant_figures/roussos_2024.adolescence.Astrocyte/rs199534_count_position.png",4,220,900)</f>
        <v/>
      </c>
      <c r="T1880">
        <f>IMAGE("https://mitra.stanford.edu/kundaje/oak/projects/neuro-variants/variant_position/credible/roussos_2024/variant_figures/roussos_2024.adolescence.Astrocyte/rs199534_profile_position.png",4,220,900)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0.0156599428</v>
      </c>
      <c r="G1881" t="n">
        <v>0.3370339257143716</v>
      </c>
      <c r="H1881" t="n">
        <v>0.008274038621317901</v>
      </c>
      <c r="I1881" t="n">
        <v>0.8720390804747207</v>
      </c>
      <c r="J1881" t="n">
        <v>0.6128705159778062</v>
      </c>
      <c r="K1881" t="n">
        <v>0.031630605570281</v>
      </c>
      <c r="L1881" t="b">
        <v>0</v>
      </c>
      <c r="M1881" t="b">
        <v>0</v>
      </c>
      <c r="N1881" t="inlineStr">
        <is>
          <t>alt</t>
        </is>
      </c>
      <c r="O1881" t="n">
        <v>75</v>
      </c>
      <c r="P1881" t="n">
        <v>0.003952</v>
      </c>
      <c r="Q1881" t="n">
        <v>-100</v>
      </c>
      <c r="R1881" t="n">
        <v>0.09180000000000001</v>
      </c>
      <c r="S1881">
        <f>IMAGE("https://mitra.stanford.edu/kundaje/oak/projects/neuro-variants/variant_position/credible/roussos_2024/variant_figures/roussos_2024.adolescence.Astrocyte/rs199528_count_position.png",4,220,900)</f>
        <v/>
      </c>
      <c r="T1881">
        <f>IMAGE("https://mitra.stanford.edu/kundaje/oak/projects/neuro-variants/variant_position/credible/roussos_2024/variant_figures/roussos_2024.adolescence.Astrocyte/rs199528_profile_position.png",4,220,900)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-0.181888168</v>
      </c>
      <c r="G1882" t="n">
        <v>0.0242514507710859</v>
      </c>
      <c r="H1882" t="n">
        <v>0.0471279400682802</v>
      </c>
      <c r="I1882" t="n">
        <v>0.0051395060229458</v>
      </c>
      <c r="J1882" t="n">
        <v>0.9216568258018574</v>
      </c>
      <c r="K1882" t="n">
        <v>0.0008611382497518</v>
      </c>
      <c r="L1882" t="b">
        <v>1</v>
      </c>
      <c r="M1882" t="b">
        <v>1</v>
      </c>
      <c r="N1882" t="inlineStr">
        <is>
          <t>ref</t>
        </is>
      </c>
      <c r="O1882" t="n">
        <v>65</v>
      </c>
      <c r="P1882" t="n">
        <v>0.009384</v>
      </c>
      <c r="Q1882" t="n">
        <v>15</v>
      </c>
      <c r="R1882" t="n">
        <v>0.02698</v>
      </c>
      <c r="S1882">
        <f>IMAGE("https://mitra.stanford.edu/kundaje/oak/projects/neuro-variants/variant_position/credible/roussos_2024/variant_figures/roussos_2024.adolescence.Astrocyte/rs199523_count_position.png",4,220,900)</f>
        <v/>
      </c>
      <c r="T1882">
        <f>IMAGE("https://mitra.stanford.edu/kundaje/oak/projects/neuro-variants/variant_position/credible/roussos_2024/variant_figures/roussos_2024.adolescence.Astrocyte/rs199523_profile_position.png",4,220,900)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-0.0106111092</v>
      </c>
      <c r="G1883" t="n">
        <v>0.5044751482385665</v>
      </c>
      <c r="H1883" t="n">
        <v>0.07192500746412391</v>
      </c>
      <c r="I1883" t="n">
        <v>0.0010236261887831</v>
      </c>
      <c r="J1883" t="n">
        <v>0.1371383853069459</v>
      </c>
      <c r="K1883" t="n">
        <v>0.2768160092951597</v>
      </c>
      <c r="L1883" t="b">
        <v>1</v>
      </c>
      <c r="M1883" t="b">
        <v>1</v>
      </c>
      <c r="N1883" t="inlineStr">
        <is>
          <t>ref</t>
        </is>
      </c>
      <c r="O1883" t="n">
        <v>65</v>
      </c>
      <c r="P1883" t="n">
        <v>0.001709</v>
      </c>
      <c r="Q1883" t="n">
        <v>65</v>
      </c>
      <c r="R1883" t="n">
        <v>0.04977</v>
      </c>
      <c r="S1883">
        <f>IMAGE("https://mitra.stanford.edu/kundaje/oak/projects/neuro-variants/variant_position/credible/roussos_2024/variant_figures/roussos_2024.adolescence.Astrocyte/rs199518_count_position.png",4,220,900)</f>
        <v/>
      </c>
      <c r="T1883">
        <f>IMAGE("https://mitra.stanford.edu/kundaje/oak/projects/neuro-variants/variant_position/credible/roussos_2024/variant_figures/roussos_2024.adolescence.Astrocyte/rs199518_profile_position.png",4,220,900)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-0.01599864236</v>
      </c>
      <c r="G1884" t="n">
        <v>0.6292079659586662</v>
      </c>
      <c r="H1884" t="n">
        <v>0.0384551623778224</v>
      </c>
      <c r="I1884" t="n">
        <v>0.011718922048282</v>
      </c>
      <c r="J1884" t="n">
        <v>0.1374647657478562</v>
      </c>
      <c r="K1884" t="n">
        <v>0.276481163107313</v>
      </c>
      <c r="L1884" t="b">
        <v>1</v>
      </c>
      <c r="M1884" t="b">
        <v>0</v>
      </c>
      <c r="N1884" t="inlineStr">
        <is>
          <t>ref</t>
        </is>
      </c>
      <c r="O1884" t="n">
        <v>60</v>
      </c>
      <c r="P1884" t="n">
        <v>0.00415</v>
      </c>
      <c r="Q1884" t="n">
        <v>60</v>
      </c>
      <c r="R1884" t="n">
        <v>0.0481</v>
      </c>
      <c r="S1884">
        <f>IMAGE("https://mitra.stanford.edu/kundaje/oak/projects/neuro-variants/variant_position/credible/roussos_2024/variant_figures/roussos_2024.adolescence.Astrocyte/rs199517_count_position.png",4,220,900)</f>
        <v/>
      </c>
      <c r="T1884">
        <f>IMAGE("https://mitra.stanford.edu/kundaje/oak/projects/neuro-variants/variant_position/credible/roussos_2024/variant_figures/roussos_2024.adolescence.Astrocyte/rs199517_profile_position.png",4,220,900)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0.08130375500000001</v>
      </c>
      <c r="G1885" t="n">
        <v>0.1117975477866552</v>
      </c>
      <c r="H1885" t="n">
        <v>0.012130979436419</v>
      </c>
      <c r="I1885" t="n">
        <v>0.5352266982752895</v>
      </c>
      <c r="J1885" t="n">
        <v>0.6066025279648695</v>
      </c>
      <c r="K1885" t="n">
        <v>0.0322097178340503</v>
      </c>
      <c r="L1885" t="b">
        <v>0</v>
      </c>
      <c r="M1885" t="b">
        <v>0</v>
      </c>
      <c r="N1885" t="inlineStr">
        <is>
          <t>alt</t>
        </is>
      </c>
      <c r="O1885" t="n">
        <v>-90</v>
      </c>
      <c r="P1885" t="n">
        <v>0.02824</v>
      </c>
      <c r="Q1885" t="n">
        <v>70</v>
      </c>
      <c r="R1885" t="n">
        <v>0.218</v>
      </c>
      <c r="S1885">
        <f>IMAGE("https://mitra.stanford.edu/kundaje/oak/projects/neuro-variants/variant_position/credible/roussos_2024/variant_figures/roussos_2024.adolescence.Astrocyte/rs199515_count_position.png",4,220,900)</f>
        <v/>
      </c>
      <c r="T1885">
        <f>IMAGE("https://mitra.stanford.edu/kundaje/oak/projects/neuro-variants/variant_position/credible/roussos_2024/variant_figures/roussos_2024.adolescence.Astrocyte/rs199515_profile_position.png",4,220,900)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-0.0385689314</v>
      </c>
      <c r="G1886" t="n">
        <v>0.3246030332850006</v>
      </c>
      <c r="H1886" t="n">
        <v>0.0123982230216576</v>
      </c>
      <c r="I1886" t="n">
        <v>0.5060551882901491</v>
      </c>
      <c r="J1886" t="n">
        <v>0.159930124914696</v>
      </c>
      <c r="K1886" t="n">
        <v>0.2511799691478188</v>
      </c>
      <c r="L1886" t="b">
        <v>0</v>
      </c>
      <c r="M1886" t="b">
        <v>0</v>
      </c>
      <c r="N1886" t="inlineStr">
        <is>
          <t>ref</t>
        </is>
      </c>
      <c r="O1886" t="n">
        <v>-100</v>
      </c>
      <c r="P1886" t="n">
        <v>0.012695</v>
      </c>
      <c r="Q1886" t="n">
        <v>100</v>
      </c>
      <c r="R1886" t="n">
        <v>0.09216000000000001</v>
      </c>
      <c r="S1886">
        <f>IMAGE("https://mitra.stanford.edu/kundaje/oak/projects/neuro-variants/variant_position/credible/roussos_2024/variant_figures/roussos_2024.adolescence.Astrocyte/rs199504_count_position.png",4,220,900)</f>
        <v/>
      </c>
      <c r="T1886">
        <f>IMAGE("https://mitra.stanford.edu/kundaje/oak/projects/neuro-variants/variant_position/credible/roussos_2024/variant_figures/roussos_2024.adolescence.Astrocyte/rs199504_profile_position.png",4,220,900)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0.0381194324</v>
      </c>
      <c r="G1887" t="n">
        <v>0.3265330094277278</v>
      </c>
      <c r="H1887" t="n">
        <v>0.0379531438483004</v>
      </c>
      <c r="I1887" t="n">
        <v>0.0120079808209654</v>
      </c>
      <c r="J1887" t="n">
        <v>0.1678085036940331</v>
      </c>
      <c r="K1887" t="n">
        <v>0.2372649274872489</v>
      </c>
      <c r="L1887" t="b">
        <v>1</v>
      </c>
      <c r="M1887" t="b">
        <v>0</v>
      </c>
      <c r="N1887" t="inlineStr">
        <is>
          <t>alt</t>
        </is>
      </c>
      <c r="O1887" t="n">
        <v>95</v>
      </c>
      <c r="P1887" t="n">
        <v>0.04248</v>
      </c>
      <c r="Q1887" t="n">
        <v>-50</v>
      </c>
      <c r="R1887" t="n">
        <v>0.1362</v>
      </c>
      <c r="S1887">
        <f>IMAGE("https://mitra.stanford.edu/kundaje/oak/projects/neuro-variants/variant_position/credible/roussos_2024/variant_figures/roussos_2024.adolescence.Astrocyte/rs199503_count_position.png",4,220,900)</f>
        <v/>
      </c>
      <c r="T1887">
        <f>IMAGE("https://mitra.stanford.edu/kundaje/oak/projects/neuro-variants/variant_position/credible/roussos_2024/variant_figures/roussos_2024.adolescence.Astrocyte/rs199503_profile_position.png",4,220,900)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0.0877181358</v>
      </c>
      <c r="G1888" t="n">
        <v>0.1052834170487372</v>
      </c>
      <c r="H1888" t="n">
        <v>0.0308447208472275</v>
      </c>
      <c r="I1888" t="n">
        <v>0.028082622789588</v>
      </c>
      <c r="J1888" t="n">
        <v>0.2934820342402752</v>
      </c>
      <c r="K1888" t="n">
        <v>0.137947570265615</v>
      </c>
      <c r="L1888" t="b">
        <v>0</v>
      </c>
      <c r="M1888" t="b">
        <v>0</v>
      </c>
      <c r="N1888" t="inlineStr">
        <is>
          <t>alt</t>
        </is>
      </c>
      <c r="O1888" t="n">
        <v>5</v>
      </c>
      <c r="P1888" t="n">
        <v>0.0004272</v>
      </c>
      <c r="Q1888" t="n">
        <v>50</v>
      </c>
      <c r="R1888" t="n">
        <v>0.1411</v>
      </c>
      <c r="S1888">
        <f>IMAGE("https://mitra.stanford.edu/kundaje/oak/projects/neuro-variants/variant_position/credible/roussos_2024/variant_figures/roussos_2024.adolescence.Astrocyte/rs199498_count_position.png",4,220,900)</f>
        <v/>
      </c>
      <c r="T1888">
        <f>IMAGE("https://mitra.stanford.edu/kundaje/oak/projects/neuro-variants/variant_position/credible/roussos_2024/variant_figures/roussos_2024.adolescence.Astrocyte/rs199498_profile_position.png",4,220,900)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0.0210462615999999</v>
      </c>
      <c r="G1889" t="n">
        <v>0.5239115689016745</v>
      </c>
      <c r="H1889" t="n">
        <v>0.0107508289892149</v>
      </c>
      <c r="I1889" t="n">
        <v>0.6733466951468423</v>
      </c>
      <c r="J1889" t="n">
        <v>0.027197875560039</v>
      </c>
      <c r="K1889" t="n">
        <v>0.5318899641677188</v>
      </c>
      <c r="L1889" t="b">
        <v>0</v>
      </c>
      <c r="M1889" t="b">
        <v>0</v>
      </c>
      <c r="N1889" t="inlineStr">
        <is>
          <t>alt</t>
        </is>
      </c>
      <c r="O1889" t="n">
        <v>15</v>
      </c>
      <c r="P1889" t="n">
        <v>0.004303</v>
      </c>
      <c r="Q1889" t="n">
        <v>55</v>
      </c>
      <c r="R1889" t="n">
        <v>0.0619</v>
      </c>
      <c r="S1889">
        <f>IMAGE("https://mitra.stanford.edu/kundaje/oak/projects/neuro-variants/variant_position/credible/roussos_2024/variant_figures/roussos_2024.adolescence.Astrocyte/rs4968282_count_position.png",4,220,900)</f>
        <v/>
      </c>
      <c r="T1889">
        <f>IMAGE("https://mitra.stanford.edu/kundaje/oak/projects/neuro-variants/variant_position/credible/roussos_2024/variant_figures/roussos_2024.adolescence.Astrocyte/rs4968282_profile_position.png",4,220,900)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0.34511861</v>
      </c>
      <c r="G1890" t="n">
        <v>0.0046976416467138</v>
      </c>
      <c r="H1890" t="n">
        <v>0.0390476437467457</v>
      </c>
      <c r="I1890" t="n">
        <v>0.0115449567246753</v>
      </c>
      <c r="J1890" t="n">
        <v>0.07492137198468971</v>
      </c>
      <c r="K1890" t="n">
        <v>0.3678731232636285</v>
      </c>
      <c r="L1890" t="b">
        <v>1</v>
      </c>
      <c r="M1890" t="b">
        <v>1</v>
      </c>
      <c r="N1890" t="inlineStr">
        <is>
          <t>alt</t>
        </is>
      </c>
      <c r="O1890" t="n">
        <v>-90</v>
      </c>
      <c r="P1890" t="n">
        <v>0.01063</v>
      </c>
      <c r="Q1890" t="n">
        <v>-50</v>
      </c>
      <c r="R1890" t="n">
        <v>0.2351</v>
      </c>
      <c r="S1890">
        <f>IMAGE("https://mitra.stanford.edu/kundaje/oak/projects/neuro-variants/variant_position/credible/roussos_2024/variant_figures/roussos_2024.adolescence.Astrocyte/rs34316808_count_position.png",4,220,900)</f>
        <v/>
      </c>
      <c r="T1890">
        <f>IMAGE("https://mitra.stanford.edu/kundaje/oak/projects/neuro-variants/variant_position/credible/roussos_2024/variant_figures/roussos_2024.adolescence.Astrocyte/rs34316808_profile_position.png",4,220,900)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-0.1561498687999999</v>
      </c>
      <c r="G1891" t="n">
        <v>0.0438789792787392</v>
      </c>
      <c r="H1891" t="n">
        <v>0.0284056569662596</v>
      </c>
      <c r="I1891" t="n">
        <v>0.0462459896149003</v>
      </c>
      <c r="J1891" t="n">
        <v>0.3255681986766756</v>
      </c>
      <c r="K1891" t="n">
        <v>0.1200845440575002</v>
      </c>
      <c r="L1891" t="b">
        <v>0</v>
      </c>
      <c r="M1891" t="b">
        <v>0</v>
      </c>
      <c r="N1891" t="inlineStr">
        <is>
          <t>ref</t>
        </is>
      </c>
      <c r="O1891" t="n">
        <v>100</v>
      </c>
      <c r="P1891" t="n">
        <v>0.01172</v>
      </c>
      <c r="Q1891" t="n">
        <v>-100</v>
      </c>
      <c r="R1891" t="n">
        <v>0.06433</v>
      </c>
      <c r="S1891">
        <f>IMAGE("https://mitra.stanford.edu/kundaje/oak/projects/neuro-variants/variant_position/credible/roussos_2024/variant_figures/roussos_2024.adolescence.Astrocyte/rs4530197_count_position.png",4,220,900)</f>
        <v/>
      </c>
      <c r="T1891">
        <f>IMAGE("https://mitra.stanford.edu/kundaje/oak/projects/neuro-variants/variant_position/credible/roussos_2024/variant_figures/roussos_2024.adolescence.Astrocyte/rs4530197_profile_position.png",4,220,900)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0.00508739436</v>
      </c>
      <c r="G1892" t="n">
        <v>0.5801179081510269</v>
      </c>
      <c r="H1892" t="n">
        <v>0.0149191908575644</v>
      </c>
      <c r="I1892" t="n">
        <v>0.3283855926242143</v>
      </c>
      <c r="J1892" t="n">
        <v>0.0754710263181318</v>
      </c>
      <c r="K1892" t="n">
        <v>0.367164385695697</v>
      </c>
      <c r="L1892" t="b">
        <v>0</v>
      </c>
      <c r="M1892" t="b">
        <v>0</v>
      </c>
      <c r="N1892" t="inlineStr">
        <is>
          <t>alt</t>
        </is>
      </c>
      <c r="O1892" t="n">
        <v>95</v>
      </c>
      <c r="P1892" t="n">
        <v>0.01015</v>
      </c>
      <c r="Q1892" t="n">
        <v>90</v>
      </c>
      <c r="R1892" t="n">
        <v>0.11975</v>
      </c>
      <c r="S1892">
        <f>IMAGE("https://mitra.stanford.edu/kundaje/oak/projects/neuro-variants/variant_position/credible/roussos_2024/variant_figures/roussos_2024.adolescence.Astrocyte/rs12603880_count_position.png",4,220,900)</f>
        <v/>
      </c>
      <c r="T1892">
        <f>IMAGE("https://mitra.stanford.edu/kundaje/oak/projects/neuro-variants/variant_position/credible/roussos_2024/variant_figures/roussos_2024.adolescence.Astrocyte/rs12603880_profile_position.png",4,220,900)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-0.008643957900000001</v>
      </c>
      <c r="G1893" t="n">
        <v>0.6262057686245297</v>
      </c>
      <c r="H1893" t="n">
        <v>0.0175241193098241</v>
      </c>
      <c r="I1893" t="n">
        <v>0.2086367674597078</v>
      </c>
      <c r="J1893" t="n">
        <v>0.2911484140877666</v>
      </c>
      <c r="K1893" t="n">
        <v>0.1395802123854008</v>
      </c>
      <c r="L1893" t="b">
        <v>0</v>
      </c>
      <c r="M1893" t="b">
        <v>0</v>
      </c>
      <c r="N1893" t="inlineStr">
        <is>
          <t>ref</t>
        </is>
      </c>
      <c r="O1893" t="n">
        <v>0</v>
      </c>
      <c r="P1893" t="n">
        <v>0</v>
      </c>
      <c r="Q1893" t="n">
        <v>-30</v>
      </c>
      <c r="R1893" t="n">
        <v>0.08276</v>
      </c>
      <c r="S1893">
        <f>IMAGE("https://mitra.stanford.edu/kundaje/oak/projects/neuro-variants/variant_position/credible/roussos_2024/variant_figures/roussos_2024.adolescence.Astrocyte/rs4305_count_position.png",4,220,900)</f>
        <v/>
      </c>
      <c r="T1893">
        <f>IMAGE("https://mitra.stanford.edu/kundaje/oak/projects/neuro-variants/variant_position/credible/roussos_2024/variant_figures/roussos_2024.adolescence.Astrocyte/rs4305_profile_position.png",4,220,900)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-0.00324231068</v>
      </c>
      <c r="G1894" t="n">
        <v>0.8071771350722901</v>
      </c>
      <c r="H1894" t="n">
        <v>0.0468742014898224</v>
      </c>
      <c r="I1894" t="n">
        <v>0.0050543634586052</v>
      </c>
      <c r="J1894" t="n">
        <v>0.0202889950449514</v>
      </c>
      <c r="K1894" t="n">
        <v>0.5684898714245868</v>
      </c>
      <c r="L1894" t="b">
        <v>1</v>
      </c>
      <c r="M1894" t="b">
        <v>0</v>
      </c>
      <c r="N1894" t="inlineStr">
        <is>
          <t>ref</t>
        </is>
      </c>
      <c r="O1894" t="n">
        <v>25</v>
      </c>
      <c r="P1894" t="n">
        <v>0.01678</v>
      </c>
      <c r="Q1894" t="n">
        <v>-25</v>
      </c>
      <c r="R1894" t="n">
        <v>0.012634</v>
      </c>
      <c r="S1894">
        <f>IMAGE("https://mitra.stanford.edu/kundaje/oak/projects/neuro-variants/variant_position/credible/roussos_2024/variant_figures/roussos_2024.adolescence.Astrocyte/rs72855201_count_position.png",4,220,900)</f>
        <v/>
      </c>
      <c r="T1894">
        <f>IMAGE("https://mitra.stanford.edu/kundaje/oak/projects/neuro-variants/variant_position/credible/roussos_2024/variant_figures/roussos_2024.adolescence.Astrocyte/rs72855201_profile_position.png",4,220,900)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-0.0577752590799999</v>
      </c>
      <c r="G1895" t="n">
        <v>0.2235415532088523</v>
      </c>
      <c r="H1895" t="n">
        <v>0.0177256226282749</v>
      </c>
      <c r="I1895" t="n">
        <v>0.2090884312643226</v>
      </c>
      <c r="J1895" t="n">
        <v>0.1078679939471263</v>
      </c>
      <c r="K1895" t="n">
        <v>0.3131267632781335</v>
      </c>
      <c r="L1895" t="b">
        <v>0</v>
      </c>
      <c r="M1895" t="b">
        <v>0</v>
      </c>
      <c r="N1895" t="inlineStr">
        <is>
          <t>ref</t>
        </is>
      </c>
      <c r="O1895" t="n">
        <v>-100</v>
      </c>
      <c r="P1895" t="n">
        <v>0.0004387</v>
      </c>
      <c r="Q1895" t="n">
        <v>-75</v>
      </c>
      <c r="R1895" t="n">
        <v>0.1151</v>
      </c>
      <c r="S1895">
        <f>IMAGE("https://mitra.stanford.edu/kundaje/oak/projects/neuro-variants/variant_position/credible/roussos_2024/variant_figures/roussos_2024.adolescence.Astrocyte/rs114177791_count_position.png",4,220,900)</f>
        <v/>
      </c>
      <c r="T1895">
        <f>IMAGE("https://mitra.stanford.edu/kundaje/oak/projects/neuro-variants/variant_position/credible/roussos_2024/variant_figures/roussos_2024.adolescence.Astrocyte/rs114177791_profile_position.png",4,220,900)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-0.0389169797</v>
      </c>
      <c r="G1896" t="n">
        <v>0.2941267024752334</v>
      </c>
      <c r="H1896" t="n">
        <v>0.0137394800593597</v>
      </c>
      <c r="I1896" t="n">
        <v>0.4100314511795366</v>
      </c>
      <c r="J1896" t="n">
        <v>0.0252277245349078</v>
      </c>
      <c r="K1896" t="n">
        <v>0.538670165170032</v>
      </c>
      <c r="L1896" t="b">
        <v>0</v>
      </c>
      <c r="M1896" t="b">
        <v>0</v>
      </c>
      <c r="N1896" t="inlineStr">
        <is>
          <t>ref</t>
        </is>
      </c>
      <c r="O1896" t="n">
        <v>-100</v>
      </c>
      <c r="P1896" t="n">
        <v>0.00253</v>
      </c>
      <c r="Q1896" t="n">
        <v>65</v>
      </c>
      <c r="R1896" t="n">
        <v>0.04773</v>
      </c>
      <c r="S1896">
        <f>IMAGE("https://mitra.stanford.edu/kundaje/oak/projects/neuro-variants/variant_position/credible/roussos_2024/variant_figures/roussos_2024.adolescence.Astrocyte/rs11665120_count_position.png",4,220,900)</f>
        <v/>
      </c>
      <c r="T1896">
        <f>IMAGE("https://mitra.stanford.edu/kundaje/oak/projects/neuro-variants/variant_position/credible/roussos_2024/variant_figures/roussos_2024.adolescence.Astrocyte/rs11665120_profile_position.png",4,220,900)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0.00690319184</v>
      </c>
      <c r="G1897" t="n">
        <v>0.7919025588324081</v>
      </c>
      <c r="H1897" t="n">
        <v>0.0116666824273062</v>
      </c>
      <c r="I1897" t="n">
        <v>0.5531379970429152</v>
      </c>
      <c r="J1897" t="n">
        <v>0.0002603625789988</v>
      </c>
      <c r="K1897" t="n">
        <v>0.9582449158349036</v>
      </c>
      <c r="L1897" t="b">
        <v>0</v>
      </c>
      <c r="M1897" t="b">
        <v>0</v>
      </c>
      <c r="N1897" t="inlineStr">
        <is>
          <t>alt</t>
        </is>
      </c>
      <c r="O1897" t="n">
        <v>100</v>
      </c>
      <c r="P1897" t="n">
        <v>0.02603</v>
      </c>
      <c r="Q1897" t="n">
        <v>-45</v>
      </c>
      <c r="R1897" t="n">
        <v>0.09406</v>
      </c>
      <c r="S1897">
        <f>IMAGE("https://mitra.stanford.edu/kundaje/oak/projects/neuro-variants/variant_position/credible/roussos_2024/variant_figures/roussos_2024.adolescence.Astrocyte/rs113895388_count_position.png",4,220,900)</f>
        <v/>
      </c>
      <c r="T1897">
        <f>IMAGE("https://mitra.stanford.edu/kundaje/oak/projects/neuro-variants/variant_position/credible/roussos_2024/variant_figures/roussos_2024.adolescence.Astrocyte/rs113895388_profile_position.png",4,220,900)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-0.02072933296</v>
      </c>
      <c r="G1898" t="n">
        <v>0.5554864966625148</v>
      </c>
      <c r="H1898" t="n">
        <v>0.0203421351682069</v>
      </c>
      <c r="I1898" t="n">
        <v>0.1290854850545048</v>
      </c>
      <c r="J1898" t="n">
        <v>0.0467295196273328</v>
      </c>
      <c r="K1898" t="n">
        <v>0.4467279481487741</v>
      </c>
      <c r="L1898" t="b">
        <v>0</v>
      </c>
      <c r="M1898" t="b">
        <v>0</v>
      </c>
      <c r="N1898" t="inlineStr">
        <is>
          <t>ref</t>
        </is>
      </c>
      <c r="O1898" t="n">
        <v>85</v>
      </c>
      <c r="P1898" t="n">
        <v>0.007782</v>
      </c>
      <c r="Q1898" t="n">
        <v>-35</v>
      </c>
      <c r="R1898" t="n">
        <v>0.1199</v>
      </c>
      <c r="S1898">
        <f>IMAGE("https://mitra.stanford.edu/kundaje/oak/projects/neuro-variants/variant_position/credible/roussos_2024/variant_figures/roussos_2024.adolescence.Astrocyte/rs188275234_count_position.png",4,220,900)</f>
        <v/>
      </c>
      <c r="T1898">
        <f>IMAGE("https://mitra.stanford.edu/kundaje/oak/projects/neuro-variants/variant_position/credible/roussos_2024/variant_figures/roussos_2024.adolescence.Astrocyte/rs188275234_profile_position.png",4,220,900)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-0.00387489548</v>
      </c>
      <c r="G1899" t="n">
        <v>0.8733371423789088</v>
      </c>
      <c r="H1899" t="n">
        <v>0.0378063385773401</v>
      </c>
      <c r="I1899" t="n">
        <v>0.0121464146180884</v>
      </c>
      <c r="J1899" t="n">
        <v>0.0015154437290448</v>
      </c>
      <c r="K1899" t="n">
        <v>0.8653321420997242</v>
      </c>
      <c r="L1899" t="b">
        <v>0</v>
      </c>
      <c r="M1899" t="b">
        <v>0</v>
      </c>
      <c r="N1899" t="inlineStr">
        <is>
          <t>ref</t>
        </is>
      </c>
      <c r="O1899" t="n">
        <v>-95</v>
      </c>
      <c r="P1899" t="n">
        <v>0.0939</v>
      </c>
      <c r="Q1899" t="n">
        <v>-60</v>
      </c>
      <c r="R1899" t="n">
        <v>0.2206</v>
      </c>
      <c r="S1899">
        <f>IMAGE("https://mitra.stanford.edu/kundaje/oak/projects/neuro-variants/variant_position/credible/roussos_2024/variant_figures/roussos_2024.adolescence.Astrocyte/rs11083369_count_position.png",4,220,900)</f>
        <v/>
      </c>
      <c r="T1899">
        <f>IMAGE("https://mitra.stanford.edu/kundaje/oak/projects/neuro-variants/variant_position/credible/roussos_2024/variant_figures/roussos_2024.adolescence.Astrocyte/rs11083369_profile_position.png",4,220,900)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-0.03688429978</v>
      </c>
      <c r="G1900" t="n">
        <v>0.3727647266665881</v>
      </c>
      <c r="H1900" t="n">
        <v>0.0178255682163447</v>
      </c>
      <c r="I1900" t="n">
        <v>0.1990451747362474</v>
      </c>
      <c r="J1900" t="n">
        <v>0.0099568287689522</v>
      </c>
      <c r="K1900" t="n">
        <v>0.6785231545153116</v>
      </c>
      <c r="L1900" t="b">
        <v>0</v>
      </c>
      <c r="M1900" t="b">
        <v>0</v>
      </c>
      <c r="N1900" t="inlineStr">
        <is>
          <t>ref</t>
        </is>
      </c>
      <c r="O1900" t="n">
        <v>30</v>
      </c>
      <c r="P1900" t="n">
        <v>0.02701</v>
      </c>
      <c r="Q1900" t="n">
        <v>40</v>
      </c>
      <c r="R1900" t="n">
        <v>0.09229999999999999</v>
      </c>
      <c r="S1900">
        <f>IMAGE("https://mitra.stanford.edu/kundaje/oak/projects/neuro-variants/variant_position/credible/roussos_2024/variant_figures/roussos_2024.adolescence.Astrocyte/rs7505145_count_position.png",4,220,900)</f>
        <v/>
      </c>
      <c r="T1900">
        <f>IMAGE("https://mitra.stanford.edu/kundaje/oak/projects/neuro-variants/variant_position/credible/roussos_2024/variant_figures/roussos_2024.adolescence.Astrocyte/rs7505145_profile_position.png",4,220,900)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-0.01639369168</v>
      </c>
      <c r="G1901" t="n">
        <v>0.6044661723494525</v>
      </c>
      <c r="H1901" t="n">
        <v>0.0095405667749</v>
      </c>
      <c r="I1901" t="n">
        <v>0.7940833212601015</v>
      </c>
      <c r="J1901" t="n">
        <v>0.0004309705367474</v>
      </c>
      <c r="K1901" t="n">
        <v>0.9321363369791864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0.00925</v>
      </c>
      <c r="Q1901" t="n">
        <v>20</v>
      </c>
      <c r="R1901" t="n">
        <v>0.02286</v>
      </c>
      <c r="S1901">
        <f>IMAGE("https://mitra.stanford.edu/kundaje/oak/projects/neuro-variants/variant_position/credible/roussos_2024/variant_figures/roussos_2024.adolescence.Astrocyte/rs62099231_count_position.png",4,220,900)</f>
        <v/>
      </c>
      <c r="T1901">
        <f>IMAGE("https://mitra.stanford.edu/kundaje/oak/projects/neuro-variants/variant_position/credible/roussos_2024/variant_figures/roussos_2024.adolescence.Astrocyte/rs62099231_profile_position.png",4,220,900)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0.089460268</v>
      </c>
      <c r="G1902" t="n">
        <v>0.0986209412497641</v>
      </c>
      <c r="H1902" t="n">
        <v>0.0185913990166809</v>
      </c>
      <c r="I1902" t="n">
        <v>0.1734131059950262</v>
      </c>
      <c r="J1902" t="n">
        <v>6.008367207665363e-05</v>
      </c>
      <c r="K1902" t="n">
        <v>0.9913219658820154</v>
      </c>
      <c r="L1902" t="b">
        <v>0</v>
      </c>
      <c r="M1902" t="b">
        <v>0</v>
      </c>
      <c r="N1902" t="inlineStr">
        <is>
          <t>alt</t>
        </is>
      </c>
      <c r="O1902" t="n">
        <v>-95</v>
      </c>
      <c r="P1902" t="n">
        <v>0.0355</v>
      </c>
      <c r="Q1902" t="n">
        <v>95</v>
      </c>
      <c r="R1902" t="n">
        <v>0.0522</v>
      </c>
      <c r="S1902">
        <f>IMAGE("https://mitra.stanford.edu/kundaje/oak/projects/neuro-variants/variant_position/credible/roussos_2024/variant_figures/roussos_2024.adolescence.Astrocyte/rs4100041_count_position.png",4,220,900)</f>
        <v/>
      </c>
      <c r="T1902">
        <f>IMAGE("https://mitra.stanford.edu/kundaje/oak/projects/neuro-variants/variant_position/credible/roussos_2024/variant_figures/roussos_2024.adolescence.Astrocyte/rs4100041_profile_position.png",4,220,900)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-0.0511219389999999</v>
      </c>
      <c r="G1903" t="n">
        <v>0.2317574302418659</v>
      </c>
      <c r="H1903" t="n">
        <v>0.0639461889436222</v>
      </c>
      <c r="I1903" t="n">
        <v>0.0015760297747989</v>
      </c>
      <c r="J1903" t="n">
        <v>0.0038742841883511</v>
      </c>
      <c r="K1903" t="n">
        <v>0.7705215173552875</v>
      </c>
      <c r="L1903" t="b">
        <v>0</v>
      </c>
      <c r="M1903" t="b">
        <v>0</v>
      </c>
      <c r="N1903" t="inlineStr">
        <is>
          <t>ref</t>
        </is>
      </c>
      <c r="O1903" t="n">
        <v>-60</v>
      </c>
      <c r="P1903" t="n">
        <v>0.006104</v>
      </c>
      <c r="Q1903" t="n">
        <v>95</v>
      </c>
      <c r="R1903" t="n">
        <v>0.2206</v>
      </c>
      <c r="S1903">
        <f>IMAGE("https://mitra.stanford.edu/kundaje/oak/projects/neuro-variants/variant_position/credible/roussos_2024/variant_figures/roussos_2024.adolescence.Astrocyte/rs77916462_count_position.png",4,220,900)</f>
        <v/>
      </c>
      <c r="T1903">
        <f>IMAGE("https://mitra.stanford.edu/kundaje/oak/projects/neuro-variants/variant_position/credible/roussos_2024/variant_figures/roussos_2024.adolescence.Astrocyte/rs77916462_profile_position.png",4,220,900)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-0.0290692830799999</v>
      </c>
      <c r="G1904" t="n">
        <v>0.4167335508338636</v>
      </c>
      <c r="H1904" t="n">
        <v>0.0575571820117137</v>
      </c>
      <c r="I1904" t="n">
        <v>0.0022464043886622</v>
      </c>
      <c r="J1904" t="n">
        <v>0.0039039551375248</v>
      </c>
      <c r="K1904" t="n">
        <v>0.7694442912403907</v>
      </c>
      <c r="L1904" t="b">
        <v>0</v>
      </c>
      <c r="M1904" t="b">
        <v>0</v>
      </c>
      <c r="N1904" t="inlineStr">
        <is>
          <t>ref</t>
        </is>
      </c>
      <c r="O1904" t="n">
        <v>95</v>
      </c>
      <c r="P1904" t="n">
        <v>0.008359999999999999</v>
      </c>
      <c r="Q1904" t="n">
        <v>95</v>
      </c>
      <c r="R1904" t="n">
        <v>0.2559</v>
      </c>
      <c r="S1904">
        <f>IMAGE("https://mitra.stanford.edu/kundaje/oak/projects/neuro-variants/variant_position/credible/roussos_2024/variant_figures/roussos_2024.adolescence.Astrocyte/rs75048819_count_position.png",4,220,900)</f>
        <v/>
      </c>
      <c r="T1904">
        <f>IMAGE("https://mitra.stanford.edu/kundaje/oak/projects/neuro-variants/variant_position/credible/roussos_2024/variant_figures/roussos_2024.adolescence.Astrocyte/rs75048819_profile_position.png",4,220,900)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0.1946705939999999</v>
      </c>
      <c r="G1905" t="n">
        <v>0.0189971417410467</v>
      </c>
      <c r="H1905" t="n">
        <v>0.0204621401989298</v>
      </c>
      <c r="I1905" t="n">
        <v>0.1285857376695428</v>
      </c>
      <c r="J1905" t="n">
        <v>0.122016586060588</v>
      </c>
      <c r="K1905" t="n">
        <v>0.2868234061749323</v>
      </c>
      <c r="L1905" t="b">
        <v>1</v>
      </c>
      <c r="M1905" t="b">
        <v>0</v>
      </c>
      <c r="N1905" t="inlineStr">
        <is>
          <t>alt</t>
        </is>
      </c>
      <c r="O1905" t="n">
        <v>55</v>
      </c>
      <c r="P1905" t="n">
        <v>0.1263</v>
      </c>
      <c r="Q1905" t="n">
        <v>-70</v>
      </c>
      <c r="R1905" t="n">
        <v>0.09470000000000001</v>
      </c>
      <c r="S1905">
        <f>IMAGE("https://mitra.stanford.edu/kundaje/oak/projects/neuro-variants/variant_position/credible/roussos_2024/variant_figures/roussos_2024.adolescence.Astrocyte/rs138740375_count_position.png",4,220,900)</f>
        <v/>
      </c>
      <c r="T1905">
        <f>IMAGE("https://mitra.stanford.edu/kundaje/oak/projects/neuro-variants/variant_position/credible/roussos_2024/variant_figures/roussos_2024.adolescence.Astrocyte/rs138740375_profile_position.png",4,220,900)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-0.01671375566</v>
      </c>
      <c r="G1906" t="n">
        <v>0.6095531318605957</v>
      </c>
      <c r="H1906" t="n">
        <v>0.0335042171538603</v>
      </c>
      <c r="I1906" t="n">
        <v>0.0204254771918229</v>
      </c>
      <c r="J1906" t="n">
        <v>0.0048942230661958</v>
      </c>
      <c r="K1906" t="n">
        <v>0.7451431108722952</v>
      </c>
      <c r="L1906" t="b">
        <v>0</v>
      </c>
      <c r="M1906" t="b">
        <v>0</v>
      </c>
      <c r="N1906" t="inlineStr">
        <is>
          <t>ref</t>
        </is>
      </c>
      <c r="O1906" t="n">
        <v>-50</v>
      </c>
      <c r="P1906" t="n">
        <v>0.0053</v>
      </c>
      <c r="Q1906" t="n">
        <v>-40</v>
      </c>
      <c r="R1906" t="n">
        <v>0.135</v>
      </c>
      <c r="S1906">
        <f>IMAGE("https://mitra.stanford.edu/kundaje/oak/projects/neuro-variants/variant_position/credible/roussos_2024/variant_figures/roussos_2024.adolescence.Astrocyte/rs11874716_count_position.png",4,220,900)</f>
        <v/>
      </c>
      <c r="T1906">
        <f>IMAGE("https://mitra.stanford.edu/kundaje/oak/projects/neuro-variants/variant_position/credible/roussos_2024/variant_figures/roussos_2024.adolescence.Astrocyte/rs11874716_profile_position.png",4,220,900)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-0.06360381800000001</v>
      </c>
      <c r="G1907" t="n">
        <v>0.1720553754018208</v>
      </c>
      <c r="H1907" t="n">
        <v>0.0108475437140503</v>
      </c>
      <c r="I1907" t="n">
        <v>0.6216429775415058</v>
      </c>
      <c r="J1907" t="n">
        <v>0.0380210960448624</v>
      </c>
      <c r="K1907" t="n">
        <v>0.4844828257901474</v>
      </c>
      <c r="L1907" t="b">
        <v>0</v>
      </c>
      <c r="M1907" t="b">
        <v>0</v>
      </c>
      <c r="N1907" t="inlineStr">
        <is>
          <t>ref</t>
        </is>
      </c>
      <c r="O1907" t="n">
        <v>30</v>
      </c>
      <c r="P1907" t="n">
        <v>0.003471</v>
      </c>
      <c r="Q1907" t="n">
        <v>-100</v>
      </c>
      <c r="R1907" t="n">
        <v>0.1078</v>
      </c>
      <c r="S1907">
        <f>IMAGE("https://mitra.stanford.edu/kundaje/oak/projects/neuro-variants/variant_position/credible/roussos_2024/variant_figures/roussos_2024.adolescence.Astrocyte/rs4801131_count_position.png",4,220,900)</f>
        <v/>
      </c>
      <c r="T1907">
        <f>IMAGE("https://mitra.stanford.edu/kundaje/oak/projects/neuro-variants/variant_position/credible/roussos_2024/variant_figures/roussos_2024.adolescence.Astrocyte/rs4801131_profile_position.png",4,220,900)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-0.105760098</v>
      </c>
      <c r="G1908" t="n">
        <v>0.10334092062995</v>
      </c>
      <c r="H1908" t="n">
        <v>0.0205003132794517</v>
      </c>
      <c r="I1908" t="n">
        <v>0.1254981230725999</v>
      </c>
      <c r="J1908" t="n">
        <v>0.1408405779900898</v>
      </c>
      <c r="K1908" t="n">
        <v>0.2705033939119881</v>
      </c>
      <c r="L1908" t="b">
        <v>0</v>
      </c>
      <c r="M1908" t="b">
        <v>0</v>
      </c>
      <c r="N1908" t="inlineStr">
        <is>
          <t>ref</t>
        </is>
      </c>
      <c r="O1908" t="n">
        <v>-60</v>
      </c>
      <c r="P1908" t="n">
        <v>0.02197</v>
      </c>
      <c r="Q1908" t="n">
        <v>15</v>
      </c>
      <c r="R1908" t="n">
        <v>0.04004</v>
      </c>
      <c r="S1908">
        <f>IMAGE("https://mitra.stanford.edu/kundaje/oak/projects/neuro-variants/variant_position/credible/roussos_2024/variant_figures/roussos_2024.adolescence.Astrocyte/rs4589643_count_position.png",4,220,900)</f>
        <v/>
      </c>
      <c r="T1908">
        <f>IMAGE("https://mitra.stanford.edu/kundaje/oak/projects/neuro-variants/variant_position/credible/roussos_2024/variant_figures/roussos_2024.adolescence.Astrocyte/rs4589643_profile_position.png",4,220,900)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0.010154348</v>
      </c>
      <c r="G1909" t="n">
        <v>0.7035541437216947</v>
      </c>
      <c r="H1909" t="n">
        <v>0.0105091411859938</v>
      </c>
      <c r="I1909" t="n">
        <v>0.6883853135284277</v>
      </c>
      <c r="J1909" t="n">
        <v>4.969883986588731e-05</v>
      </c>
      <c r="K1909" t="n">
        <v>0.9909812009126292</v>
      </c>
      <c r="L1909" t="b">
        <v>0</v>
      </c>
      <c r="M1909" t="b">
        <v>0</v>
      </c>
      <c r="N1909" t="inlineStr">
        <is>
          <t>alt</t>
        </is>
      </c>
      <c r="O1909" t="n">
        <v>70</v>
      </c>
      <c r="P1909" t="n">
        <v>0.003265</v>
      </c>
      <c r="Q1909" t="n">
        <v>-100</v>
      </c>
      <c r="R1909" t="n">
        <v>0.1039</v>
      </c>
      <c r="S1909">
        <f>IMAGE("https://mitra.stanford.edu/kundaje/oak/projects/neuro-variants/variant_position/credible/roussos_2024/variant_figures/roussos_2024.adolescence.Astrocyte/rs4608411_count_position.png",4,220,900)</f>
        <v/>
      </c>
      <c r="T1909">
        <f>IMAGE("https://mitra.stanford.edu/kundaje/oak/projects/neuro-variants/variant_position/credible/roussos_2024/variant_figures/roussos_2024.adolescence.Astrocyte/rs4608411_profile_position.png",4,220,900)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-0.193325534</v>
      </c>
      <c r="G1910" t="n">
        <v>0.0253795149514931</v>
      </c>
      <c r="H1910" t="n">
        <v>0.0258166894196537</v>
      </c>
      <c r="I1910" t="n">
        <v>0.0576759424317658</v>
      </c>
      <c r="J1910" t="n">
        <v>0.1056582500074177</v>
      </c>
      <c r="K1910" t="n">
        <v>0.3128885298707695</v>
      </c>
      <c r="L1910" t="b">
        <v>0</v>
      </c>
      <c r="M1910" t="b">
        <v>0</v>
      </c>
      <c r="N1910" t="inlineStr">
        <is>
          <t>ref</t>
        </is>
      </c>
      <c r="O1910" t="n">
        <v>-100</v>
      </c>
      <c r="P1910" t="n">
        <v>0.007294</v>
      </c>
      <c r="Q1910" t="n">
        <v>-100</v>
      </c>
      <c r="R1910" t="n">
        <v>0.0598</v>
      </c>
      <c r="S1910">
        <f>IMAGE("https://mitra.stanford.edu/kundaje/oak/projects/neuro-variants/variant_position/credible/roussos_2024/variant_figures/roussos_2024.adolescence.Astrocyte/rs78468782_count_position.png",4,220,900)</f>
        <v/>
      </c>
      <c r="T1910">
        <f>IMAGE("https://mitra.stanford.edu/kundaje/oak/projects/neuro-variants/variant_position/credible/roussos_2024/variant_figures/roussos_2024.adolescence.Astrocyte/rs78468782_profile_position.png",4,220,900)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-0.0407589903</v>
      </c>
      <c r="G1911" t="n">
        <v>0.2879571833665574</v>
      </c>
      <c r="H1911" t="n">
        <v>0.0165121391661719</v>
      </c>
      <c r="I1911" t="n">
        <v>0.2470621272881301</v>
      </c>
      <c r="J1911" t="n">
        <v>0.002998991187728</v>
      </c>
      <c r="K1911" t="n">
        <v>0.792647213356247</v>
      </c>
      <c r="L1911" t="b">
        <v>0</v>
      </c>
      <c r="M1911" t="b">
        <v>0</v>
      </c>
      <c r="N1911" t="inlineStr">
        <is>
          <t>ref</t>
        </is>
      </c>
      <c r="O1911" t="n">
        <v>-95</v>
      </c>
      <c r="P1911" t="n">
        <v>0.00673</v>
      </c>
      <c r="Q1911" t="n">
        <v>-90</v>
      </c>
      <c r="R1911" t="n">
        <v>0.2147</v>
      </c>
      <c r="S1911">
        <f>IMAGE("https://mitra.stanford.edu/kundaje/oak/projects/neuro-variants/variant_position/credible/roussos_2024/variant_figures/roussos_2024.adolescence.Astrocyte/rs79694868_count_position.png",4,220,900)</f>
        <v/>
      </c>
      <c r="T1911">
        <f>IMAGE("https://mitra.stanford.edu/kundaje/oak/projects/neuro-variants/variant_position/credible/roussos_2024/variant_figures/roussos_2024.adolescence.Astrocyte/rs79694868_profile_position.png",4,220,900)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-0.1262535972</v>
      </c>
      <c r="G1912" t="n">
        <v>0.0544496647613456</v>
      </c>
      <c r="H1912" t="n">
        <v>0.0204674200050877</v>
      </c>
      <c r="I1912" t="n">
        <v>0.1267128582174098</v>
      </c>
      <c r="J1912" t="n">
        <v>0.002284663086372</v>
      </c>
      <c r="K1912" t="n">
        <v>0.8231452402803122</v>
      </c>
      <c r="L1912" t="b">
        <v>0</v>
      </c>
      <c r="M1912" t="b">
        <v>0</v>
      </c>
      <c r="N1912" t="inlineStr">
        <is>
          <t>ref</t>
        </is>
      </c>
      <c r="O1912" t="n">
        <v>35</v>
      </c>
      <c r="P1912" t="n">
        <v>0.01607</v>
      </c>
      <c r="Q1912" t="n">
        <v>60</v>
      </c>
      <c r="R1912" t="n">
        <v>0.09973</v>
      </c>
      <c r="S1912">
        <f>IMAGE("https://mitra.stanford.edu/kundaje/oak/projects/neuro-variants/variant_position/credible/roussos_2024/variant_figures/roussos_2024.adolescence.Astrocyte/rs9953026_count_position.png",4,220,900)</f>
        <v/>
      </c>
      <c r="T1912">
        <f>IMAGE("https://mitra.stanford.edu/kundaje/oak/projects/neuro-variants/variant_position/credible/roussos_2024/variant_figures/roussos_2024.adolescence.Astrocyte/rs9953026_profile_position.png",4,220,900)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0.00930846538</v>
      </c>
      <c r="G1913" t="n">
        <v>0.7421481963676152</v>
      </c>
      <c r="H1913" t="n">
        <v>0.0134710350730758</v>
      </c>
      <c r="I1913" t="n">
        <v>0.4272879851603771</v>
      </c>
      <c r="J1913" t="n">
        <v>0.0114477939649288</v>
      </c>
      <c r="K1913" t="n">
        <v>0.6519808182176355</v>
      </c>
      <c r="L1913" t="b">
        <v>0</v>
      </c>
      <c r="M1913" t="b">
        <v>0</v>
      </c>
      <c r="N1913" t="inlineStr">
        <is>
          <t>alt</t>
        </is>
      </c>
      <c r="O1913" t="n">
        <v>-45</v>
      </c>
      <c r="P1913" t="n">
        <v>0.003107</v>
      </c>
      <c r="Q1913" t="n">
        <v>-60</v>
      </c>
      <c r="R1913" t="n">
        <v>0.0706</v>
      </c>
      <c r="S1913">
        <f>IMAGE("https://mitra.stanford.edu/kundaje/oak/projects/neuro-variants/variant_position/credible/roussos_2024/variant_figures/roussos_2024.adolescence.Astrocyte/rs74776973_count_position.png",4,220,900)</f>
        <v/>
      </c>
      <c r="T1913">
        <f>IMAGE("https://mitra.stanford.edu/kundaje/oak/projects/neuro-variants/variant_position/credible/roussos_2024/variant_figures/roussos_2024.adolescence.Astrocyte/rs74776973_profile_position.png",4,220,900)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-0.00865776482</v>
      </c>
      <c r="G1914" t="n">
        <v>0.7855094879348631</v>
      </c>
      <c r="H1914" t="n">
        <v>0.0248952748683592</v>
      </c>
      <c r="I1914" t="n">
        <v>0.0637986537894368</v>
      </c>
      <c r="J1914" t="n">
        <v>0.2643918938966857</v>
      </c>
      <c r="K1914" t="n">
        <v>0.1545719089386791</v>
      </c>
      <c r="L1914" t="b">
        <v>0</v>
      </c>
      <c r="M1914" t="b">
        <v>0</v>
      </c>
      <c r="N1914" t="inlineStr">
        <is>
          <t>ref</t>
        </is>
      </c>
      <c r="O1914" t="n">
        <v>85</v>
      </c>
      <c r="P1914" t="n">
        <v>0.01903</v>
      </c>
      <c r="Q1914" t="n">
        <v>100</v>
      </c>
      <c r="R1914" t="n">
        <v>0.3074</v>
      </c>
      <c r="S1914">
        <f>IMAGE("https://mitra.stanford.edu/kundaje/oak/projects/neuro-variants/variant_position/credible/roussos_2024/variant_figures/roussos_2024.adolescence.Astrocyte/rs79467351_count_position.png",4,220,900)</f>
        <v/>
      </c>
      <c r="T1914">
        <f>IMAGE("https://mitra.stanford.edu/kundaje/oak/projects/neuro-variants/variant_position/credible/roussos_2024/variant_figures/roussos_2024.adolescence.Astrocyte/rs79467351_profile_position.png",4,220,900)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0.0123720524</v>
      </c>
      <c r="G1915" t="n">
        <v>0.5222735586932362</v>
      </c>
      <c r="H1915" t="n">
        <v>0.01250756987023</v>
      </c>
      <c r="I1915" t="n">
        <v>0.5021342710715827</v>
      </c>
      <c r="J1915" t="n">
        <v>0.0158205500993976</v>
      </c>
      <c r="K1915" t="n">
        <v>0.6012883322451374</v>
      </c>
      <c r="L1915" t="b">
        <v>0</v>
      </c>
      <c r="M1915" t="b">
        <v>0</v>
      </c>
      <c r="N1915" t="inlineStr">
        <is>
          <t>alt</t>
        </is>
      </c>
      <c r="O1915" t="n">
        <v>-10</v>
      </c>
      <c r="P1915" t="n">
        <v>0.00208</v>
      </c>
      <c r="Q1915" t="n">
        <v>95</v>
      </c>
      <c r="R1915" t="n">
        <v>0.01767</v>
      </c>
      <c r="S1915">
        <f>IMAGE("https://mitra.stanford.edu/kundaje/oak/projects/neuro-variants/variant_position/credible/roussos_2024/variant_figures/roussos_2024.adolescence.Astrocyte/rs76339649_count_position.png",4,220,900)</f>
        <v/>
      </c>
      <c r="T1915">
        <f>IMAGE("https://mitra.stanford.edu/kundaje/oak/projects/neuro-variants/variant_position/credible/roussos_2024/variant_figures/roussos_2024.adolescence.Astrocyte/rs76339649_profile_position.png",4,220,900)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0.0044976869999999</v>
      </c>
      <c r="G1916" t="n">
        <v>0.6650492884518231</v>
      </c>
      <c r="H1916" t="n">
        <v>0.01897919019584</v>
      </c>
      <c r="I1916" t="n">
        <v>0.1612386017909884</v>
      </c>
      <c r="J1916" t="n">
        <v>0.1086713348960033</v>
      </c>
      <c r="K1916" t="n">
        <v>0.3124493675841965</v>
      </c>
      <c r="L1916" t="b">
        <v>0</v>
      </c>
      <c r="M1916" t="b">
        <v>0</v>
      </c>
      <c r="N1916" t="inlineStr">
        <is>
          <t>alt</t>
        </is>
      </c>
      <c r="O1916" t="n">
        <v>80</v>
      </c>
      <c r="P1916" t="n">
        <v>0.02704</v>
      </c>
      <c r="Q1916" t="n">
        <v>100</v>
      </c>
      <c r="R1916" t="n">
        <v>0.1992</v>
      </c>
      <c r="S1916">
        <f>IMAGE("https://mitra.stanford.edu/kundaje/oak/projects/neuro-variants/variant_position/credible/roussos_2024/variant_figures/roussos_2024.adolescence.Astrocyte/rs187698281_count_position.png",4,220,900)</f>
        <v/>
      </c>
      <c r="T1916">
        <f>IMAGE("https://mitra.stanford.edu/kundaje/oak/projects/neuro-variants/variant_position/credible/roussos_2024/variant_figures/roussos_2024.adolescence.Astrocyte/rs187698281_profile_position.png",4,220,900)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0.08094065</v>
      </c>
      <c r="G1917" t="n">
        <v>0.1211446014199296</v>
      </c>
      <c r="H1917" t="n">
        <v>0.0144367021381564</v>
      </c>
      <c r="I1917" t="n">
        <v>0.3628809101008421</v>
      </c>
      <c r="J1917" t="n">
        <v>0.1227101444975224</v>
      </c>
      <c r="K1917" t="n">
        <v>0.2876908103241981</v>
      </c>
      <c r="L1917" t="b">
        <v>0</v>
      </c>
      <c r="M1917" t="b">
        <v>0</v>
      </c>
      <c r="N1917" t="inlineStr">
        <is>
          <t>alt</t>
        </is>
      </c>
      <c r="O1917" t="n">
        <v>-100</v>
      </c>
      <c r="P1917" t="n">
        <v>0.007934999999999999</v>
      </c>
      <c r="Q1917" t="n">
        <v>-100</v>
      </c>
      <c r="R1917" t="n">
        <v>0.2744</v>
      </c>
      <c r="S1917">
        <f>IMAGE("https://mitra.stanford.edu/kundaje/oak/projects/neuro-variants/variant_position/credible/roussos_2024/variant_figures/roussos_2024.adolescence.Astrocyte/rs116959829_count_position.png",4,220,900)</f>
        <v/>
      </c>
      <c r="T1917">
        <f>IMAGE("https://mitra.stanford.edu/kundaje/oak/projects/neuro-variants/variant_position/credible/roussos_2024/variant_figures/roussos_2024.adolescence.Astrocyte/rs116959829_profile_position.png",4,220,900)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-0.0488583976</v>
      </c>
      <c r="G1918" t="n">
        <v>0.2543047517029577</v>
      </c>
      <c r="H1918" t="n">
        <v>0.0127111198855701</v>
      </c>
      <c r="I1918" t="n">
        <v>0.4907902510454009</v>
      </c>
      <c r="J1918" t="n">
        <v>0.0177632554965433</v>
      </c>
      <c r="K1918" t="n">
        <v>0.5857868698092995</v>
      </c>
      <c r="L1918" t="b">
        <v>0</v>
      </c>
      <c r="M1918" t="b">
        <v>0</v>
      </c>
      <c r="N1918" t="inlineStr">
        <is>
          <t>ref</t>
        </is>
      </c>
      <c r="O1918" t="n">
        <v>60</v>
      </c>
      <c r="P1918" t="n">
        <v>0.04004</v>
      </c>
      <c r="Q1918" t="n">
        <v>100</v>
      </c>
      <c r="R1918" t="n">
        <v>0.306</v>
      </c>
      <c r="S1918">
        <f>IMAGE("https://mitra.stanford.edu/kundaje/oak/projects/neuro-variants/variant_position/credible/roussos_2024/variant_figures/roussos_2024.adolescence.Astrocyte/rs73487018_count_position.png",4,220,900)</f>
        <v/>
      </c>
      <c r="T1918">
        <f>IMAGE("https://mitra.stanford.edu/kundaje/oak/projects/neuro-variants/variant_position/credible/roussos_2024/variant_figures/roussos_2024.adolescence.Astrocyte/rs73487018_profile_position.png",4,220,900)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0.0320721407199999</v>
      </c>
      <c r="G1919" t="n">
        <v>0.3719195017288635</v>
      </c>
      <c r="H1919" t="n">
        <v>0.0262433097417115</v>
      </c>
      <c r="I1919" t="n">
        <v>0.0524870632276664</v>
      </c>
      <c r="J1919" t="n">
        <v>0.0157523069162982</v>
      </c>
      <c r="K1919" t="n">
        <v>0.6014912212442917</v>
      </c>
      <c r="L1919" t="b">
        <v>0</v>
      </c>
      <c r="M1919" t="b">
        <v>0</v>
      </c>
      <c r="N1919" t="inlineStr">
        <is>
          <t>alt</t>
        </is>
      </c>
      <c r="O1919" t="n">
        <v>50</v>
      </c>
      <c r="P1919" t="n">
        <v>0.01631</v>
      </c>
      <c r="Q1919" t="n">
        <v>-65</v>
      </c>
      <c r="R1919" t="n">
        <v>0.2485</v>
      </c>
      <c r="S1919">
        <f>IMAGE("https://mitra.stanford.edu/kundaje/oak/projects/neuro-variants/variant_position/credible/roussos_2024/variant_figures/roussos_2024.adolescence.Astrocyte/rs73487023_count_position.png",4,220,900)</f>
        <v/>
      </c>
      <c r="T1919">
        <f>IMAGE("https://mitra.stanford.edu/kundaje/oak/projects/neuro-variants/variant_position/credible/roussos_2024/variant_figures/roussos_2024.adolescence.Astrocyte/rs73487023_profile_position.png",4,220,900)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-0.013215544952</v>
      </c>
      <c r="G1920" t="n">
        <v>0.6823576016607095</v>
      </c>
      <c r="H1920" t="n">
        <v>0.0255574601970806</v>
      </c>
      <c r="I1920" t="n">
        <v>0.0583119460849486</v>
      </c>
      <c r="J1920" t="n">
        <v>0.0223985995311989</v>
      </c>
      <c r="K1920" t="n">
        <v>0.5751452890356663</v>
      </c>
      <c r="L1920" t="b">
        <v>0</v>
      </c>
      <c r="M1920" t="b">
        <v>0</v>
      </c>
      <c r="N1920" t="inlineStr">
        <is>
          <t>ref</t>
        </is>
      </c>
      <c r="O1920" t="n">
        <v>100</v>
      </c>
      <c r="P1920" t="n">
        <v>0.0955</v>
      </c>
      <c r="Q1920" t="n">
        <v>100</v>
      </c>
      <c r="R1920" t="n">
        <v>0.1653</v>
      </c>
      <c r="S1920">
        <f>IMAGE("https://mitra.stanford.edu/kundaje/oak/projects/neuro-variants/variant_position/credible/roussos_2024/variant_figures/roussos_2024.adolescence.Astrocyte/rs150458109_count_position.png",4,220,900)</f>
        <v/>
      </c>
      <c r="T1920">
        <f>IMAGE("https://mitra.stanford.edu/kundaje/oak/projects/neuro-variants/variant_position/credible/roussos_2024/variant_figures/roussos_2024.adolescence.Astrocyte/rs150458109_profile_position.png",4,220,900)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0.031585699</v>
      </c>
      <c r="G1921" t="n">
        <v>0.4071600185118992</v>
      </c>
      <c r="H1921" t="n">
        <v>0.0168750536758725</v>
      </c>
      <c r="I1921" t="n">
        <v>0.2310246603897116</v>
      </c>
      <c r="J1921" t="n">
        <v>0.0327300240334687</v>
      </c>
      <c r="K1921" t="n">
        <v>0.4982785282105456</v>
      </c>
      <c r="L1921" t="b">
        <v>0</v>
      </c>
      <c r="M1921" t="b">
        <v>0</v>
      </c>
      <c r="N1921" t="inlineStr">
        <is>
          <t>alt</t>
        </is>
      </c>
      <c r="O1921" t="n">
        <v>75</v>
      </c>
      <c r="P1921" t="n">
        <v>0.01761</v>
      </c>
      <c r="Q1921" t="n">
        <v>-15</v>
      </c>
      <c r="R1921" t="n">
        <v>0.02356</v>
      </c>
      <c r="S1921">
        <f>IMAGE("https://mitra.stanford.edu/kundaje/oak/projects/neuro-variants/variant_position/credible/roussos_2024/variant_figures/roussos_2024.adolescence.Astrocyte/rs142300078_count_position.png",4,220,900)</f>
        <v/>
      </c>
      <c r="T1921">
        <f>IMAGE("https://mitra.stanford.edu/kundaje/oak/projects/neuro-variants/variant_position/credible/roussos_2024/variant_figures/roussos_2024.adolescence.Astrocyte/rs142300078_profile_position.png",4,220,900)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-0.1298904639999999</v>
      </c>
      <c r="G1922" t="n">
        <v>0.0505259863834207</v>
      </c>
      <c r="H1922" t="n">
        <v>0.0251280614987397</v>
      </c>
      <c r="I1922" t="n">
        <v>0.06290846111111</v>
      </c>
      <c r="J1922" t="n">
        <v>0.1187320119870634</v>
      </c>
      <c r="K1922" t="n">
        <v>0.2912388793165621</v>
      </c>
      <c r="L1922" t="b">
        <v>0</v>
      </c>
      <c r="M1922" t="b">
        <v>0</v>
      </c>
      <c r="N1922" t="inlineStr">
        <is>
          <t>ref</t>
        </is>
      </c>
      <c r="O1922" t="n">
        <v>-100</v>
      </c>
      <c r="P1922" t="n">
        <v>0.0054</v>
      </c>
      <c r="Q1922" t="n">
        <v>50</v>
      </c>
      <c r="R1922" t="n">
        <v>0.06006</v>
      </c>
      <c r="S1922">
        <f>IMAGE("https://mitra.stanford.edu/kundaje/oak/projects/neuro-variants/variant_position/credible/roussos_2024/variant_figures/roussos_2024.adolescence.Astrocyte/rs146016468_count_position.png",4,220,900)</f>
        <v/>
      </c>
      <c r="T1922">
        <f>IMAGE("https://mitra.stanford.edu/kundaje/oak/projects/neuro-variants/variant_position/credible/roussos_2024/variant_figures/roussos_2024.adolescence.Astrocyte/rs146016468_profile_position.png",4,220,900)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0.0060994208799999</v>
      </c>
      <c r="G1923" t="n">
        <v>0.833050972907702</v>
      </c>
      <c r="H1923" t="n">
        <v>0.0235881718037474</v>
      </c>
      <c r="I1923" t="n">
        <v>0.0782106710312952</v>
      </c>
      <c r="J1923" t="n">
        <v>0.06426134172032159</v>
      </c>
      <c r="K1923" t="n">
        <v>0.3937596903276192</v>
      </c>
      <c r="L1923" t="b">
        <v>0</v>
      </c>
      <c r="M1923" t="b">
        <v>0</v>
      </c>
      <c r="N1923" t="inlineStr">
        <is>
          <t>alt</t>
        </is>
      </c>
      <c r="O1923" t="n">
        <v>80</v>
      </c>
      <c r="P1923" t="n">
        <v>0.005703</v>
      </c>
      <c r="Q1923" t="n">
        <v>-10</v>
      </c>
      <c r="R1923" t="n">
        <v>0.03757</v>
      </c>
      <c r="S1923">
        <f>IMAGE("https://mitra.stanford.edu/kundaje/oak/projects/neuro-variants/variant_position/credible/roussos_2024/variant_figures/roussos_2024.adolescence.Astrocyte/rs1261115_count_position.png",4,220,900)</f>
        <v/>
      </c>
      <c r="T1923">
        <f>IMAGE("https://mitra.stanford.edu/kundaje/oak/projects/neuro-variants/variant_position/credible/roussos_2024/variant_figures/roussos_2024.adolescence.Astrocyte/rs1261115_profile_position.png",4,220,900)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0.0492941895999999</v>
      </c>
      <c r="G1924" t="n">
        <v>0.28300160083567</v>
      </c>
      <c r="H1924" t="n">
        <v>0.0130834648138208</v>
      </c>
      <c r="I1924" t="n">
        <v>0.4547109827856757</v>
      </c>
      <c r="J1924" t="n">
        <v>0.0017194315046137</v>
      </c>
      <c r="K1924" t="n">
        <v>0.8379407294013834</v>
      </c>
      <c r="L1924" t="b">
        <v>0</v>
      </c>
      <c r="M1924" t="b">
        <v>0</v>
      </c>
      <c r="N1924" t="inlineStr">
        <is>
          <t>alt</t>
        </is>
      </c>
      <c r="O1924" t="n">
        <v>-45</v>
      </c>
      <c r="P1924" t="n">
        <v>0.0034</v>
      </c>
      <c r="Q1924" t="n">
        <v>-90</v>
      </c>
      <c r="R1924" t="n">
        <v>0.05856</v>
      </c>
      <c r="S1924">
        <f>IMAGE("https://mitra.stanford.edu/kundaje/oak/projects/neuro-variants/variant_position/credible/roussos_2024/variant_figures/roussos_2024.adolescence.Astrocyte/rs56666482_count_position.png",4,220,900)</f>
        <v/>
      </c>
      <c r="T1924">
        <f>IMAGE("https://mitra.stanford.edu/kundaje/oak/projects/neuro-variants/variant_position/credible/roussos_2024/variant_figures/roussos_2024.adolescence.Astrocyte/rs56666482_profile_position.png",4,220,900)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-0.0226976154</v>
      </c>
      <c r="G1925" t="n">
        <v>0.5261683825072183</v>
      </c>
      <c r="H1925" t="n">
        <v>0.025389794095164</v>
      </c>
      <c r="I1925" t="n">
        <v>0.0599803171441945</v>
      </c>
      <c r="J1925" t="n">
        <v>0.0005281428952911</v>
      </c>
      <c r="K1925" t="n">
        <v>0.9172733091262072</v>
      </c>
      <c r="L1925" t="b">
        <v>0</v>
      </c>
      <c r="M1925" t="b">
        <v>0</v>
      </c>
      <c r="N1925" t="inlineStr">
        <is>
          <t>ref</t>
        </is>
      </c>
      <c r="O1925" t="n">
        <v>-100</v>
      </c>
      <c r="P1925" t="n">
        <v>0.002106</v>
      </c>
      <c r="Q1925" t="n">
        <v>100</v>
      </c>
      <c r="R1925" t="n">
        <v>0.05234</v>
      </c>
      <c r="S1925">
        <f>IMAGE("https://mitra.stanford.edu/kundaje/oak/projects/neuro-variants/variant_position/credible/roussos_2024/variant_figures/roussos_2024.adolescence.Astrocyte/rs1261117_count_position.png",4,220,900)</f>
        <v/>
      </c>
      <c r="T1925">
        <f>IMAGE("https://mitra.stanford.edu/kundaje/oak/projects/neuro-variants/variant_position/credible/roussos_2024/variant_figures/roussos_2024.adolescence.Astrocyte/rs1261117_profile_position.png",4,220,900)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-0.01910601834</v>
      </c>
      <c r="G1926" t="n">
        <v>0.5624663108499717</v>
      </c>
      <c r="H1926" t="n">
        <v>0.0288395548321664</v>
      </c>
      <c r="I1926" t="n">
        <v>0.0364537620802414</v>
      </c>
      <c r="J1926" t="n">
        <v>0.2620426964958608</v>
      </c>
      <c r="K1926" t="n">
        <v>0.1569403155723691</v>
      </c>
      <c r="L1926" t="b">
        <v>0</v>
      </c>
      <c r="M1926" t="b">
        <v>0</v>
      </c>
      <c r="N1926" t="inlineStr">
        <is>
          <t>ref</t>
        </is>
      </c>
      <c r="O1926" t="n">
        <v>85</v>
      </c>
      <c r="P1926" t="n">
        <v>0.0483</v>
      </c>
      <c r="Q1926" t="n">
        <v>90</v>
      </c>
      <c r="R1926" t="n">
        <v>0.8794</v>
      </c>
      <c r="S1926">
        <f>IMAGE("https://mitra.stanford.edu/kundaje/oak/projects/neuro-variants/variant_position/credible/roussos_2024/variant_figures/roussos_2024.adolescence.Astrocyte/rs1788031_count_position.png",4,220,900)</f>
        <v/>
      </c>
      <c r="T1926">
        <f>IMAGE("https://mitra.stanford.edu/kundaje/oak/projects/neuro-variants/variant_position/credible/roussos_2024/variant_figures/roussos_2024.adolescence.Astrocyte/rs1788031_profile_position.png",4,220,900)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0.208564552</v>
      </c>
      <c r="G1927" t="n">
        <v>0.0188255717580259</v>
      </c>
      <c r="H1927" t="n">
        <v>0.0286401193774878</v>
      </c>
      <c r="I1927" t="n">
        <v>0.0397361883313266</v>
      </c>
      <c r="J1927" t="n">
        <v>0.0349286413672372</v>
      </c>
      <c r="K1927" t="n">
        <v>0.5008320943297809</v>
      </c>
      <c r="L1927" t="b">
        <v>1</v>
      </c>
      <c r="M1927" t="b">
        <v>0</v>
      </c>
      <c r="N1927" t="inlineStr">
        <is>
          <t>alt</t>
        </is>
      </c>
      <c r="O1927" t="n">
        <v>90</v>
      </c>
      <c r="P1927" t="n">
        <v>0.006973</v>
      </c>
      <c r="Q1927" t="n">
        <v>-20</v>
      </c>
      <c r="R1927" t="n">
        <v>0.05786</v>
      </c>
      <c r="S1927">
        <f>IMAGE("https://mitra.stanford.edu/kundaje/oak/projects/neuro-variants/variant_position/credible/roussos_2024/variant_figures/roussos_2024.adolescence.Astrocyte/rs79926379_count_position.png",4,220,900)</f>
        <v/>
      </c>
      <c r="T1927">
        <f>IMAGE("https://mitra.stanford.edu/kundaje/oak/projects/neuro-variants/variant_position/credible/roussos_2024/variant_figures/roussos_2024.adolescence.Astrocyte/rs79926379_profile_position.png",4,220,900)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0.03837376938</v>
      </c>
      <c r="G1928" t="n">
        <v>0.3156045032874203</v>
      </c>
      <c r="H1928" t="n">
        <v>0.0170563160185074</v>
      </c>
      <c r="I1928" t="n">
        <v>0.2242518021865315</v>
      </c>
      <c r="J1928" t="n">
        <v>0.0006156721953534</v>
      </c>
      <c r="K1928" t="n">
        <v>0.9031471200107984</v>
      </c>
      <c r="L1928" t="b">
        <v>0</v>
      </c>
      <c r="M1928" t="b">
        <v>0</v>
      </c>
      <c r="N1928" t="inlineStr">
        <is>
          <t>alt</t>
        </is>
      </c>
      <c r="O1928" t="n">
        <v>85</v>
      </c>
      <c r="P1928" t="n">
        <v>0.007515</v>
      </c>
      <c r="Q1928" t="n">
        <v>10</v>
      </c>
      <c r="R1928" t="n">
        <v>0.003906</v>
      </c>
      <c r="S1928">
        <f>IMAGE("https://mitra.stanford.edu/kundaje/oak/projects/neuro-variants/variant_position/credible/roussos_2024/variant_figures/roussos_2024.adolescence.Astrocyte/rs77355441_count_position.png",4,220,900)</f>
        <v/>
      </c>
      <c r="T1928">
        <f>IMAGE("https://mitra.stanford.edu/kundaje/oak/projects/neuro-variants/variant_position/credible/roussos_2024/variant_figures/roussos_2024.adolescence.Astrocyte/rs77355441_profile_position.png",4,220,900)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-0.0264293024</v>
      </c>
      <c r="G1929" t="n">
        <v>0.3468123255742815</v>
      </c>
      <c r="H1929" t="n">
        <v>0.0252306819955085</v>
      </c>
      <c r="I1929" t="n">
        <v>0.0605836076446182</v>
      </c>
      <c r="J1929" t="n">
        <v>0.0913590778268996</v>
      </c>
      <c r="K1929" t="n">
        <v>0.3388695390688941</v>
      </c>
      <c r="L1929" t="b">
        <v>0</v>
      </c>
      <c r="M1929" t="b">
        <v>0</v>
      </c>
      <c r="N1929" t="inlineStr">
        <is>
          <t>ref</t>
        </is>
      </c>
      <c r="O1929" t="n">
        <v>-90</v>
      </c>
      <c r="P1929" t="n">
        <v>0.01892</v>
      </c>
      <c r="Q1929" t="n">
        <v>-90</v>
      </c>
      <c r="R1929" t="n">
        <v>0.10645</v>
      </c>
      <c r="S1929">
        <f>IMAGE("https://mitra.stanford.edu/kundaje/oak/projects/neuro-variants/variant_position/credible/roussos_2024/variant_figures/roussos_2024.adolescence.Astrocyte/rs78322266_count_position.png",4,220,900)</f>
        <v/>
      </c>
      <c r="T1929">
        <f>IMAGE("https://mitra.stanford.edu/kundaje/oak/projects/neuro-variants/variant_position/credible/roussos_2024/variant_figures/roussos_2024.adolescence.Astrocyte/rs78322266_profile_position.png",4,220,900)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-0.0673299738</v>
      </c>
      <c r="G1930" t="n">
        <v>0.177854361690449</v>
      </c>
      <c r="H1930" t="n">
        <v>0.0181809823502664</v>
      </c>
      <c r="I1930" t="n">
        <v>0.1898824239263301</v>
      </c>
      <c r="J1930" t="n">
        <v>0.0316930243598492</v>
      </c>
      <c r="K1930" t="n">
        <v>0.5142935289761298</v>
      </c>
      <c r="L1930" t="b">
        <v>0</v>
      </c>
      <c r="M1930" t="b">
        <v>0</v>
      </c>
      <c r="N1930" t="inlineStr">
        <is>
          <t>ref</t>
        </is>
      </c>
      <c r="O1930" t="n">
        <v>-100</v>
      </c>
      <c r="P1930" t="n">
        <v>0.009705</v>
      </c>
      <c r="Q1930" t="n">
        <v>-15</v>
      </c>
      <c r="R1930" t="n">
        <v>0.01257</v>
      </c>
      <c r="S1930">
        <f>IMAGE("https://mitra.stanford.edu/kundaje/oak/projects/neuro-variants/variant_position/credible/roussos_2024/variant_figures/roussos_2024.adolescence.Astrocyte/rs17594721_count_position.png",4,220,900)</f>
        <v/>
      </c>
      <c r="T1930">
        <f>IMAGE("https://mitra.stanford.edu/kundaje/oak/projects/neuro-variants/variant_position/credible/roussos_2024/variant_figures/roussos_2024.adolescence.Astrocyte/rs17594721_profile_position.png",4,220,900)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0.0459835652</v>
      </c>
      <c r="G1931" t="n">
        <v>0.1028041428963333</v>
      </c>
      <c r="H1931" t="n">
        <v>0.0147118260021484</v>
      </c>
      <c r="I1931" t="n">
        <v>0.3397293138435427</v>
      </c>
      <c r="J1931" t="n">
        <v>0.2271288906032103</v>
      </c>
      <c r="K1931" t="n">
        <v>0.1825704490819318</v>
      </c>
      <c r="L1931" t="b">
        <v>0</v>
      </c>
      <c r="M1931" t="b">
        <v>0</v>
      </c>
      <c r="N1931" t="inlineStr">
        <is>
          <t>alt</t>
        </is>
      </c>
      <c r="O1931" t="n">
        <v>100</v>
      </c>
      <c r="P1931" t="n">
        <v>0.02563</v>
      </c>
      <c r="Q1931" t="n">
        <v>-95</v>
      </c>
      <c r="R1931" t="n">
        <v>0.03735</v>
      </c>
      <c r="S1931">
        <f>IMAGE("https://mitra.stanford.edu/kundaje/oak/projects/neuro-variants/variant_position/credible/roussos_2024/variant_figures/roussos_2024.adolescence.Astrocyte/rs1371833_count_position.png",4,220,900)</f>
        <v/>
      </c>
      <c r="T1931">
        <f>IMAGE("https://mitra.stanford.edu/kundaje/oak/projects/neuro-variants/variant_position/credible/roussos_2024/variant_figures/roussos_2024.adolescence.Astrocyte/rs1371833_profile_position.png",4,220,900)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0.0278596952</v>
      </c>
      <c r="G1932" t="n">
        <v>0.3687699119721005</v>
      </c>
      <c r="H1932" t="n">
        <v>0.0105232781243362</v>
      </c>
      <c r="I1932" t="n">
        <v>0.6864659182283575</v>
      </c>
      <c r="J1932" t="n">
        <v>0.0004465477850636</v>
      </c>
      <c r="K1932" t="n">
        <v>0.922370440690082</v>
      </c>
      <c r="L1932" t="b">
        <v>0</v>
      </c>
      <c r="M1932" t="b">
        <v>0</v>
      </c>
      <c r="N1932" t="inlineStr">
        <is>
          <t>alt</t>
        </is>
      </c>
      <c r="O1932" t="n">
        <v>0</v>
      </c>
      <c r="P1932" t="n">
        <v>0</v>
      </c>
      <c r="Q1932" t="n">
        <v>-50</v>
      </c>
      <c r="R1932" t="n">
        <v>0.05276</v>
      </c>
      <c r="S1932">
        <f>IMAGE("https://mitra.stanford.edu/kundaje/oak/projects/neuro-variants/variant_position/credible/roussos_2024/variant_figures/roussos_2024.adolescence.Astrocyte/rs73477275_count_position.png",4,220,900)</f>
        <v/>
      </c>
      <c r="T1932">
        <f>IMAGE("https://mitra.stanford.edu/kundaje/oak/projects/neuro-variants/variant_position/credible/roussos_2024/variant_figures/roussos_2024.adolescence.Astrocyte/rs73477275_profile_position.png",4,220,900)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0.280040884</v>
      </c>
      <c r="G1933" t="n">
        <v>0.0074271151175347</v>
      </c>
      <c r="H1933" t="n">
        <v>0.0397696882649778</v>
      </c>
      <c r="I1933" t="n">
        <v>0.0098949645719804</v>
      </c>
      <c r="J1933" t="n">
        <v>0.0462102780167937</v>
      </c>
      <c r="K1933" t="n">
        <v>0.4622468811056202</v>
      </c>
      <c r="L1933" t="b">
        <v>1</v>
      </c>
      <c r="M1933" t="b">
        <v>1</v>
      </c>
      <c r="N1933" t="inlineStr">
        <is>
          <t>alt</t>
        </is>
      </c>
      <c r="O1933" t="n">
        <v>-45</v>
      </c>
      <c r="P1933" t="n">
        <v>0.00838</v>
      </c>
      <c r="Q1933" t="n">
        <v>-90</v>
      </c>
      <c r="R1933" t="n">
        <v>0.2196</v>
      </c>
      <c r="S1933">
        <f>IMAGE("https://mitra.stanford.edu/kundaje/oak/projects/neuro-variants/variant_position/credible/roussos_2024/variant_figures/roussos_2024.adolescence.Astrocyte/rs140282719_count_position.png",4,220,900)</f>
        <v/>
      </c>
      <c r="T1933">
        <f>IMAGE("https://mitra.stanford.edu/kundaje/oak/projects/neuro-variants/variant_position/credible/roussos_2024/variant_figures/roussos_2024.adolescence.Astrocyte/rs140282719_profile_position.png",4,220,900)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-0.0142371105799999</v>
      </c>
      <c r="G1934" t="n">
        <v>0.4940225462534106</v>
      </c>
      <c r="H1934" t="n">
        <v>0.0114094085062582</v>
      </c>
      <c r="I1934" t="n">
        <v>0.6051742307038736</v>
      </c>
      <c r="J1934" t="n">
        <v>0.0038579651663056</v>
      </c>
      <c r="K1934" t="n">
        <v>0.7780439116385254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0.00776</v>
      </c>
      <c r="Q1934" t="n">
        <v>95</v>
      </c>
      <c r="R1934" t="n">
        <v>0.05902</v>
      </c>
      <c r="S1934">
        <f>IMAGE("https://mitra.stanford.edu/kundaje/oak/projects/neuro-variants/variant_position/credible/roussos_2024/variant_figures/roussos_2024.adolescence.Astrocyte/rs78431385_count_position.png",4,220,900)</f>
        <v/>
      </c>
      <c r="T1934">
        <f>IMAGE("https://mitra.stanford.edu/kundaje/oak/projects/neuro-variants/variant_position/credible/roussos_2024/variant_figures/roussos_2024.adolescence.Astrocyte/rs78431385_profile_position.png",4,220,900)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0.0013214098599999</v>
      </c>
      <c r="G1935" t="n">
        <v>0.9264986755224908</v>
      </c>
      <c r="H1935" t="n">
        <v>0.0252794023398192</v>
      </c>
      <c r="I1935" t="n">
        <v>0.061554616008944</v>
      </c>
      <c r="J1935" t="n">
        <v>0.0017676467970209</v>
      </c>
      <c r="K1935" t="n">
        <v>0.8633644252578745</v>
      </c>
      <c r="L1935" t="b">
        <v>0</v>
      </c>
      <c r="M1935" t="b">
        <v>0</v>
      </c>
      <c r="N1935" t="inlineStr">
        <is>
          <t>alt</t>
        </is>
      </c>
      <c r="O1935" t="n">
        <v>-100</v>
      </c>
      <c r="P1935" t="n">
        <v>0.01538</v>
      </c>
      <c r="Q1935" t="n">
        <v>-100</v>
      </c>
      <c r="R1935" t="n">
        <v>0.1907</v>
      </c>
      <c r="S1935">
        <f>IMAGE("https://mitra.stanford.edu/kundaje/oak/projects/neuro-variants/variant_position/credible/roussos_2024/variant_figures/roussos_2024.adolescence.Astrocyte/rs184174206_count_position.png",4,220,900)</f>
        <v/>
      </c>
      <c r="T1935">
        <f>IMAGE("https://mitra.stanford.edu/kundaje/oak/projects/neuro-variants/variant_position/credible/roussos_2024/variant_figures/roussos_2024.adolescence.Astrocyte/rs184174206_profile_position.png",4,220,900)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0.0207265087999999</v>
      </c>
      <c r="G1936" t="n">
        <v>0.4698022906918023</v>
      </c>
      <c r="H1936" t="n">
        <v>0.011944613179959</v>
      </c>
      <c r="I1936" t="n">
        <v>0.5480211269293026</v>
      </c>
      <c r="J1936" t="n">
        <v>0.0115820550099397</v>
      </c>
      <c r="K1936" t="n">
        <v>0.6503971142582237</v>
      </c>
      <c r="L1936" t="b">
        <v>0</v>
      </c>
      <c r="M1936" t="b">
        <v>0</v>
      </c>
      <c r="N1936" t="inlineStr">
        <is>
          <t>alt</t>
        </is>
      </c>
      <c r="O1936" t="n">
        <v>100</v>
      </c>
      <c r="P1936" t="n">
        <v>0.005013</v>
      </c>
      <c r="Q1936" t="n">
        <v>-40</v>
      </c>
      <c r="R1936" t="n">
        <v>0.074</v>
      </c>
      <c r="S1936">
        <f>IMAGE("https://mitra.stanford.edu/kundaje/oak/projects/neuro-variants/variant_position/credible/roussos_2024/variant_figures/roussos_2024.adolescence.Astrocyte/rs813043_count_position.png",4,220,900)</f>
        <v/>
      </c>
      <c r="T1936">
        <f>IMAGE("https://mitra.stanford.edu/kundaje/oak/projects/neuro-variants/variant_position/credible/roussos_2024/variant_figures/roussos_2024.adolescence.Astrocyte/rs813043_profile_position.png",4,220,900)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-0.008379317359999999</v>
      </c>
      <c r="G1937" t="n">
        <v>0.6408572444314913</v>
      </c>
      <c r="H1937" t="n">
        <v>0.0220217275324955</v>
      </c>
      <c r="I1937" t="n">
        <v>0.1011231245714203</v>
      </c>
      <c r="J1937" t="n">
        <v>0.0040671453579799</v>
      </c>
      <c r="K1937" t="n">
        <v>0.7625467372937688</v>
      </c>
      <c r="L1937" t="b">
        <v>0</v>
      </c>
      <c r="M1937" t="b">
        <v>0</v>
      </c>
      <c r="N1937" t="inlineStr">
        <is>
          <t>ref</t>
        </is>
      </c>
      <c r="O1937" t="n">
        <v>-70</v>
      </c>
      <c r="P1937" t="n">
        <v>0.00415</v>
      </c>
      <c r="Q1937" t="n">
        <v>80</v>
      </c>
      <c r="R1937" t="n">
        <v>0.05316</v>
      </c>
      <c r="S1937">
        <f>IMAGE("https://mitra.stanford.edu/kundaje/oak/projects/neuro-variants/variant_position/credible/roussos_2024/variant_figures/roussos_2024.adolescence.Astrocyte/rs17527878_count_position.png",4,220,900)</f>
        <v/>
      </c>
      <c r="T1937">
        <f>IMAGE("https://mitra.stanford.edu/kundaje/oak/projects/neuro-variants/variant_position/credible/roussos_2024/variant_figures/roussos_2024.adolescence.Astrocyte/rs17527878_profile_position.png",4,220,900)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-0.0121074174</v>
      </c>
      <c r="G1938" t="n">
        <v>0.6395616007717431</v>
      </c>
      <c r="H1938" t="n">
        <v>0.0276868892916704</v>
      </c>
      <c r="I1938" t="n">
        <v>0.0426071663124059</v>
      </c>
      <c r="J1938" t="n">
        <v>0.0058481440821291</v>
      </c>
      <c r="K1938" t="n">
        <v>0.7188211732193821</v>
      </c>
      <c r="L1938" t="b">
        <v>0</v>
      </c>
      <c r="M1938" t="b">
        <v>0</v>
      </c>
      <c r="N1938" t="inlineStr">
        <is>
          <t>ref</t>
        </is>
      </c>
      <c r="O1938" t="n">
        <v>-60</v>
      </c>
      <c r="P1938" t="n">
        <v>0.003767</v>
      </c>
      <c r="Q1938" t="n">
        <v>55</v>
      </c>
      <c r="R1938" t="n">
        <v>0.01318</v>
      </c>
      <c r="S1938">
        <f>IMAGE("https://mitra.stanford.edu/kundaje/oak/projects/neuro-variants/variant_position/credible/roussos_2024/variant_figures/roussos_2024.adolescence.Astrocyte/rs77882218_count_position.png",4,220,900)</f>
        <v/>
      </c>
      <c r="T1938">
        <f>IMAGE("https://mitra.stanford.edu/kundaje/oak/projects/neuro-variants/variant_position/credible/roussos_2024/variant_figures/roussos_2024.adolescence.Astrocyte/rs77882218_profile_position.png",4,220,900)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0.07963029219999999</v>
      </c>
      <c r="G1939" t="n">
        <v>0.117427893074695</v>
      </c>
      <c r="H1939" t="n">
        <v>0.0165155294315206</v>
      </c>
      <c r="I1939" t="n">
        <v>0.2529323727934772</v>
      </c>
      <c r="J1939" t="n">
        <v>0.004284485060677</v>
      </c>
      <c r="K1939" t="n">
        <v>0.7553149998631122</v>
      </c>
      <c r="L1939" t="b">
        <v>0</v>
      </c>
      <c r="M1939" t="b">
        <v>0</v>
      </c>
      <c r="N1939" t="inlineStr">
        <is>
          <t>alt</t>
        </is>
      </c>
      <c r="O1939" t="n">
        <v>100</v>
      </c>
      <c r="P1939" t="n">
        <v>0.05338</v>
      </c>
      <c r="Q1939" t="n">
        <v>100</v>
      </c>
      <c r="R1939" t="n">
        <v>0.1641</v>
      </c>
      <c r="S1939">
        <f>IMAGE("https://mitra.stanford.edu/kundaje/oak/projects/neuro-variants/variant_position/credible/roussos_2024/variant_figures/roussos_2024.adolescence.Astrocyte/rs72932579_count_position.png",4,220,900)</f>
        <v/>
      </c>
      <c r="T1939">
        <f>IMAGE("https://mitra.stanford.edu/kundaje/oak/projects/neuro-variants/variant_position/credible/roussos_2024/variant_figures/roussos_2024.adolescence.Astrocyte/rs72932579_profile_position.png",4,220,900)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0.0036736157</v>
      </c>
      <c r="G1940" t="n">
        <v>0.3878959567884579</v>
      </c>
      <c r="H1940" t="n">
        <v>0.0324041243204223</v>
      </c>
      <c r="I1940" t="n">
        <v>0.0229445111713188</v>
      </c>
      <c r="J1940" t="n">
        <v>0.183232204848233</v>
      </c>
      <c r="K1940" t="n">
        <v>0.2183211395511469</v>
      </c>
      <c r="L1940" t="b">
        <v>0</v>
      </c>
      <c r="M1940" t="b">
        <v>0</v>
      </c>
      <c r="N1940" t="inlineStr">
        <is>
          <t>alt</t>
        </is>
      </c>
      <c r="O1940" t="n">
        <v>-70</v>
      </c>
      <c r="P1940" t="n">
        <v>0.003052</v>
      </c>
      <c r="Q1940" t="n">
        <v>-30</v>
      </c>
      <c r="R1940" t="n">
        <v>0.06104</v>
      </c>
      <c r="S1940">
        <f>IMAGE("https://mitra.stanford.edu/kundaje/oak/projects/neuro-variants/variant_position/credible/roussos_2024/variant_figures/roussos_2024.adolescence.Astrocyte/rs75882620_count_position.png",4,220,900)</f>
        <v/>
      </c>
      <c r="T1940">
        <f>IMAGE("https://mitra.stanford.edu/kundaje/oak/projects/neuro-variants/variant_position/credible/roussos_2024/variant_figures/roussos_2024.adolescence.Astrocyte/rs75882620_profile_position.png",4,220,900)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-0.0479726078</v>
      </c>
      <c r="G1941" t="n">
        <v>0.2454378065826377</v>
      </c>
      <c r="H1941" t="n">
        <v>0.0125566876994889</v>
      </c>
      <c r="I1941" t="n">
        <v>0.5011467923576579</v>
      </c>
      <c r="J1941" t="n">
        <v>0.000219565023885</v>
      </c>
      <c r="K1941" t="n">
        <v>0.9649061088710834</v>
      </c>
      <c r="L1941" t="b">
        <v>0</v>
      </c>
      <c r="M1941" t="b">
        <v>0</v>
      </c>
      <c r="N1941" t="inlineStr">
        <is>
          <t>ref</t>
        </is>
      </c>
      <c r="O1941" t="n">
        <v>-95</v>
      </c>
      <c r="P1941" t="n">
        <v>0.008059999999999999</v>
      </c>
      <c r="Q1941" t="n">
        <v>-100</v>
      </c>
      <c r="R1941" t="n">
        <v>0.3318</v>
      </c>
      <c r="S1941">
        <f>IMAGE("https://mitra.stanford.edu/kundaje/oak/projects/neuro-variants/variant_position/credible/roussos_2024/variant_figures/roussos_2024.adolescence.Astrocyte/rs148652326_count_position.png",4,220,900)</f>
        <v/>
      </c>
      <c r="T1941">
        <f>IMAGE("https://mitra.stanford.edu/kundaje/oak/projects/neuro-variants/variant_position/credible/roussos_2024/variant_figures/roussos_2024.adolescence.Astrocyte/rs148652326_profile_position.png",4,220,900)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0.02163771876</v>
      </c>
      <c r="G1942" t="n">
        <v>0.541148410404338</v>
      </c>
      <c r="H1942" t="n">
        <v>0.0100948254152585</v>
      </c>
      <c r="I1942" t="n">
        <v>0.7480562214557545</v>
      </c>
      <c r="J1942" t="n">
        <v>0.3456628490045396</v>
      </c>
      <c r="K1942" t="n">
        <v>0.1094512381981351</v>
      </c>
      <c r="L1942" t="b">
        <v>0</v>
      </c>
      <c r="M1942" t="b">
        <v>0</v>
      </c>
      <c r="N1942" t="inlineStr">
        <is>
          <t>alt</t>
        </is>
      </c>
      <c r="O1942" t="n">
        <v>-45</v>
      </c>
      <c r="P1942" t="n">
        <v>0.02643</v>
      </c>
      <c r="Q1942" t="n">
        <v>-20</v>
      </c>
      <c r="R1942" t="n">
        <v>0.05713</v>
      </c>
      <c r="S1942">
        <f>IMAGE("https://mitra.stanford.edu/kundaje/oak/projects/neuro-variants/variant_position/credible/roussos_2024/variant_figures/roussos_2024.adolescence.Astrocyte/rs17602354_count_position.png",4,220,900)</f>
        <v/>
      </c>
      <c r="T1942">
        <f>IMAGE("https://mitra.stanford.edu/kundaje/oak/projects/neuro-variants/variant_position/credible/roussos_2024/variant_figures/roussos_2024.adolescence.Astrocyte/rs17602354_profile_position.png",4,220,900)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-0.206967666</v>
      </c>
      <c r="G1943" t="n">
        <v>0.0183348670311163</v>
      </c>
      <c r="H1943" t="n">
        <v>0.0236463465561335</v>
      </c>
      <c r="I1943" t="n">
        <v>0.0765739110984458</v>
      </c>
      <c r="J1943" t="n">
        <v>0.0072627065839835</v>
      </c>
      <c r="K1943" t="n">
        <v>0.7080931218533413</v>
      </c>
      <c r="L1943" t="b">
        <v>1</v>
      </c>
      <c r="M1943" t="b">
        <v>0</v>
      </c>
      <c r="N1943" t="inlineStr">
        <is>
          <t>ref</t>
        </is>
      </c>
      <c r="O1943" t="n">
        <v>-25</v>
      </c>
      <c r="P1943" t="n">
        <v>0.002869</v>
      </c>
      <c r="Q1943" t="n">
        <v>-25</v>
      </c>
      <c r="R1943" t="n">
        <v>0.02405</v>
      </c>
      <c r="S1943">
        <f>IMAGE("https://mitra.stanford.edu/kundaje/oak/projects/neuro-variants/variant_position/credible/roussos_2024/variant_figures/roussos_2024.adolescence.Astrocyte/rs61576172_count_position.png",4,220,900)</f>
        <v/>
      </c>
      <c r="T1943">
        <f>IMAGE("https://mitra.stanford.edu/kundaje/oak/projects/neuro-variants/variant_position/credible/roussos_2024/variant_figures/roussos_2024.adolescence.Astrocyte/rs61576172_profile_position.png",4,220,900)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-0.06852580799999999</v>
      </c>
      <c r="G1944" t="n">
        <v>0.1671131577187191</v>
      </c>
      <c r="H1944" t="n">
        <v>0.0239445933577545</v>
      </c>
      <c r="I1944" t="n">
        <v>0.07429548247890751</v>
      </c>
      <c r="J1944" t="n">
        <v>0.3167069697059608</v>
      </c>
      <c r="K1944" t="n">
        <v>0.1260297959013907</v>
      </c>
      <c r="L1944" t="b">
        <v>0</v>
      </c>
      <c r="M1944" t="b">
        <v>0</v>
      </c>
      <c r="N1944" t="inlineStr">
        <is>
          <t>ref</t>
        </is>
      </c>
      <c r="O1944" t="n">
        <v>100</v>
      </c>
      <c r="P1944" t="n">
        <v>0.02983</v>
      </c>
      <c r="Q1944" t="n">
        <v>90</v>
      </c>
      <c r="R1944" t="n">
        <v>0.3418</v>
      </c>
      <c r="S1944">
        <f>IMAGE("https://mitra.stanford.edu/kundaje/oak/projects/neuro-variants/variant_position/credible/roussos_2024/variant_figures/roussos_2024.adolescence.Astrocyte/rs118115105_count_position.png",4,220,900)</f>
        <v/>
      </c>
      <c r="T1944">
        <f>IMAGE("https://mitra.stanford.edu/kundaje/oak/projects/neuro-variants/variant_position/credible/roussos_2024/variant_figures/roussos_2024.adolescence.Astrocyte/rs118115105_profile_position.png",4,220,900)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-0.0466696</v>
      </c>
      <c r="G1945" t="n">
        <v>0.2729287473606688</v>
      </c>
      <c r="H1945" t="n">
        <v>0.0132684808462547</v>
      </c>
      <c r="I1945" t="n">
        <v>0.4403308784051704</v>
      </c>
      <c r="J1945" t="n">
        <v>0.0175266296768832</v>
      </c>
      <c r="K1945" t="n">
        <v>0.6123467404689062</v>
      </c>
      <c r="L1945" t="b">
        <v>0</v>
      </c>
      <c r="M1945" t="b">
        <v>0</v>
      </c>
      <c r="N1945" t="inlineStr">
        <is>
          <t>ref</t>
        </is>
      </c>
      <c r="O1945" t="n">
        <v>45</v>
      </c>
      <c r="P1945" t="n">
        <v>0.011536</v>
      </c>
      <c r="Q1945" t="n">
        <v>100</v>
      </c>
      <c r="R1945" t="n">
        <v>0.0992</v>
      </c>
      <c r="S1945">
        <f>IMAGE("https://mitra.stanford.edu/kundaje/oak/projects/neuro-variants/variant_position/credible/roussos_2024/variant_figures/roussos_2024.adolescence.Astrocyte/rs56062547_count_position.png",4,220,900)</f>
        <v/>
      </c>
      <c r="T1945">
        <f>IMAGE("https://mitra.stanford.edu/kundaje/oak/projects/neuro-variants/variant_position/credible/roussos_2024/variant_figures/roussos_2024.adolescence.Astrocyte/rs56062547_profile_position.png",4,220,900)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0.1782386558</v>
      </c>
      <c r="G1946" t="n">
        <v>0.025345196925898</v>
      </c>
      <c r="H1946" t="n">
        <v>0.0323498569878301</v>
      </c>
      <c r="I1946" t="n">
        <v>0.0247274673239223</v>
      </c>
      <c r="J1946" t="n">
        <v>0.0096838560365545</v>
      </c>
      <c r="K1946" t="n">
        <v>0.6685918122442556</v>
      </c>
      <c r="L1946" t="b">
        <v>0</v>
      </c>
      <c r="M1946" t="b">
        <v>0</v>
      </c>
      <c r="N1946" t="inlineStr">
        <is>
          <t>alt</t>
        </is>
      </c>
      <c r="O1946" t="n">
        <v>70</v>
      </c>
      <c r="P1946" t="n">
        <v>0.02486</v>
      </c>
      <c r="Q1946" t="n">
        <v>70</v>
      </c>
      <c r="R1946" t="n">
        <v>0.1605</v>
      </c>
      <c r="S1946">
        <f>IMAGE("https://mitra.stanford.edu/kundaje/oak/projects/neuro-variants/variant_position/credible/roussos_2024/variant_figures/roussos_2024.adolescence.Astrocyte/rs1424401_count_position.png",4,220,900)</f>
        <v/>
      </c>
      <c r="T1946">
        <f>IMAGE("https://mitra.stanford.edu/kundaje/oak/projects/neuro-variants/variant_position/credible/roussos_2024/variant_figures/roussos_2024.adolescence.Astrocyte/rs1424401_profile_position.png",4,220,900)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-0.0937444144</v>
      </c>
      <c r="G1947" t="n">
        <v>0.09328061676725261</v>
      </c>
      <c r="H1947" t="n">
        <v>0.0225236686621321</v>
      </c>
      <c r="I1947" t="n">
        <v>0.09188496947277749</v>
      </c>
      <c r="J1947" t="n">
        <v>0.0468979022638933</v>
      </c>
      <c r="K1947" t="n">
        <v>0.4441531006380766</v>
      </c>
      <c r="L1947" t="b">
        <v>0</v>
      </c>
      <c r="M1947" t="b">
        <v>0</v>
      </c>
      <c r="N1947" t="inlineStr">
        <is>
          <t>ref</t>
        </is>
      </c>
      <c r="O1947" t="n">
        <v>-100</v>
      </c>
      <c r="P1947" t="n">
        <v>0.015495</v>
      </c>
      <c r="Q1947" t="n">
        <v>100</v>
      </c>
      <c r="R1947" t="n">
        <v>0.0542</v>
      </c>
      <c r="S1947">
        <f>IMAGE("https://mitra.stanford.edu/kundaje/oak/projects/neuro-variants/variant_position/credible/roussos_2024/variant_figures/roussos_2024.adolescence.Astrocyte/rs2902193_count_position.png",4,220,900)</f>
        <v/>
      </c>
      <c r="T1947">
        <f>IMAGE("https://mitra.stanford.edu/kundaje/oak/projects/neuro-variants/variant_position/credible/roussos_2024/variant_figures/roussos_2024.adolescence.Astrocyte/rs2902193_profile_position.png",4,220,900)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-0.0679070438399999</v>
      </c>
      <c r="G1948" t="n">
        <v>0.1973806659131116</v>
      </c>
      <c r="H1948" t="n">
        <v>0.0159097983323072</v>
      </c>
      <c r="I1948" t="n">
        <v>0.2837401022677394</v>
      </c>
      <c r="J1948" t="n">
        <v>0.175334539951933</v>
      </c>
      <c r="K1948" t="n">
        <v>0.2254430676007658</v>
      </c>
      <c r="L1948" t="b">
        <v>0</v>
      </c>
      <c r="M1948" t="b">
        <v>0</v>
      </c>
      <c r="N1948" t="inlineStr">
        <is>
          <t>ref</t>
        </is>
      </c>
      <c r="O1948" t="n">
        <v>-75</v>
      </c>
      <c r="P1948" t="n">
        <v>0.0159</v>
      </c>
      <c r="Q1948" t="n">
        <v>-65</v>
      </c>
      <c r="R1948" t="n">
        <v>0.2192</v>
      </c>
      <c r="S1948">
        <f>IMAGE("https://mitra.stanford.edu/kundaje/oak/projects/neuro-variants/variant_position/credible/roussos_2024/variant_figures/roussos_2024.adolescence.Astrocyte/rs10164243_count_position.png",4,220,900)</f>
        <v/>
      </c>
      <c r="T1948">
        <f>IMAGE("https://mitra.stanford.edu/kundaje/oak/projects/neuro-variants/variant_position/credible/roussos_2024/variant_figures/roussos_2024.adolescence.Astrocyte/rs10164243_profile_position.png",4,220,900)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-0.0457781938</v>
      </c>
      <c r="G1949" t="n">
        <v>0.2936702109483247</v>
      </c>
      <c r="H1949" t="n">
        <v>0.0153398585004624</v>
      </c>
      <c r="I1949" t="n">
        <v>0.3031322403422974</v>
      </c>
      <c r="J1949" t="n">
        <v>0.7987931341423612</v>
      </c>
      <c r="K1949" t="n">
        <v>0.0078105355147267</v>
      </c>
      <c r="L1949" t="b">
        <v>0</v>
      </c>
      <c r="M1949" t="b">
        <v>0</v>
      </c>
      <c r="N1949" t="inlineStr">
        <is>
          <t>ref</t>
        </is>
      </c>
      <c r="O1949" t="n">
        <v>-85</v>
      </c>
      <c r="P1949" t="n">
        <v>0.01178</v>
      </c>
      <c r="Q1949" t="n">
        <v>-85</v>
      </c>
      <c r="R1949" t="n">
        <v>0.0781</v>
      </c>
      <c r="S1949">
        <f>IMAGE("https://mitra.stanford.edu/kundaje/oak/projects/neuro-variants/variant_position/credible/roussos_2024/variant_figures/roussos_2024.adolescence.Astrocyte/rs1862920_count_position.png",4,220,900)</f>
        <v/>
      </c>
      <c r="T1949">
        <f>IMAGE("https://mitra.stanford.edu/kundaje/oak/projects/neuro-variants/variant_position/credible/roussos_2024/variant_figures/roussos_2024.adolescence.Astrocyte/rs1862920_profile_position.png",4,220,900)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0.018202924</v>
      </c>
      <c r="G1950" t="n">
        <v>0.5561594955934729</v>
      </c>
      <c r="H1950" t="n">
        <v>0.0333235293623267</v>
      </c>
      <c r="I1950" t="n">
        <v>0.0205635661450105</v>
      </c>
      <c r="J1950" t="n">
        <v>0.0071685013203571</v>
      </c>
      <c r="K1950" t="n">
        <v>0.6982777993241877</v>
      </c>
      <c r="L1950" t="b">
        <v>0</v>
      </c>
      <c r="M1950" t="b">
        <v>0</v>
      </c>
      <c r="N1950" t="inlineStr">
        <is>
          <t>alt</t>
        </is>
      </c>
      <c r="O1950" t="n">
        <v>-100</v>
      </c>
      <c r="P1950" t="n">
        <v>0.00717</v>
      </c>
      <c r="Q1950" t="n">
        <v>80</v>
      </c>
      <c r="R1950" t="n">
        <v>0.03796</v>
      </c>
      <c r="S1950">
        <f>IMAGE("https://mitra.stanford.edu/kundaje/oak/projects/neuro-variants/variant_position/credible/roussos_2024/variant_figures/roussos_2024.adolescence.Astrocyte/rs1789562_count_position.png",4,220,900)</f>
        <v/>
      </c>
      <c r="T1950">
        <f>IMAGE("https://mitra.stanford.edu/kundaje/oak/projects/neuro-variants/variant_position/credible/roussos_2024/variant_figures/roussos_2024.adolescence.Astrocyte/rs1789562_profile_position.png",4,220,900)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-0.0309403573999999</v>
      </c>
      <c r="G1951" t="n">
        <v>0.2524642732610704</v>
      </c>
      <c r="H1951" t="n">
        <v>0.0097781036931928</v>
      </c>
      <c r="I1951" t="n">
        <v>0.7754525001408323</v>
      </c>
      <c r="J1951" t="n">
        <v>0.4688506957837581</v>
      </c>
      <c r="K1951" t="n">
        <v>0.0639218496215606</v>
      </c>
      <c r="L1951" t="b">
        <v>0</v>
      </c>
      <c r="M1951" t="b">
        <v>0</v>
      </c>
      <c r="N1951" t="inlineStr">
        <is>
          <t>ref</t>
        </is>
      </c>
      <c r="O1951" t="n">
        <v>-55</v>
      </c>
      <c r="P1951" t="n">
        <v>0.03186</v>
      </c>
      <c r="Q1951" t="n">
        <v>-25</v>
      </c>
      <c r="R1951" t="n">
        <v>0.2573</v>
      </c>
      <c r="S1951">
        <f>IMAGE("https://mitra.stanford.edu/kundaje/oak/projects/neuro-variants/variant_position/credible/roussos_2024/variant_figures/roussos_2024.adolescence.Astrocyte/rs75104423_count_position.png",4,220,900)</f>
        <v/>
      </c>
      <c r="T1951">
        <f>IMAGE("https://mitra.stanford.edu/kundaje/oak/projects/neuro-variants/variant_position/credible/roussos_2024/variant_figures/roussos_2024.adolescence.Astrocyte/rs75104423_profile_position.png",4,220,900)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0.0265518848</v>
      </c>
      <c r="G1952" t="n">
        <v>0.4661705122130922</v>
      </c>
      <c r="H1952" t="n">
        <v>0.0128131899153663</v>
      </c>
      <c r="I1952" t="n">
        <v>0.4856183299081655</v>
      </c>
      <c r="J1952" t="n">
        <v>0.0014650031154496</v>
      </c>
      <c r="K1952" t="n">
        <v>0.8499043273999775</v>
      </c>
      <c r="L1952" t="b">
        <v>0</v>
      </c>
      <c r="M1952" t="b">
        <v>0</v>
      </c>
      <c r="N1952" t="inlineStr">
        <is>
          <t>alt</t>
        </is>
      </c>
      <c r="O1952" t="n">
        <v>-100</v>
      </c>
      <c r="P1952" t="n">
        <v>0.01196</v>
      </c>
      <c r="Q1952" t="n">
        <v>25</v>
      </c>
      <c r="R1952" t="n">
        <v>0.01126</v>
      </c>
      <c r="S1952">
        <f>IMAGE("https://mitra.stanford.edu/kundaje/oak/projects/neuro-variants/variant_position/credible/roussos_2024/variant_figures/roussos_2024.adolescence.Astrocyte/rs62091470_count_position.png",4,220,900)</f>
        <v/>
      </c>
      <c r="T1952">
        <f>IMAGE("https://mitra.stanford.edu/kundaje/oak/projects/neuro-variants/variant_position/credible/roussos_2024/variant_figures/roussos_2024.adolescence.Astrocyte/rs62091470_profile_position.png",4,220,900)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-0.0403982724</v>
      </c>
      <c r="G1953" t="n">
        <v>0.3164415485784558</v>
      </c>
      <c r="H1953" t="n">
        <v>0.0124903081679639</v>
      </c>
      <c r="I1953" t="n">
        <v>0.507216282031118</v>
      </c>
      <c r="J1953" t="n">
        <v>0.0259798830964602</v>
      </c>
      <c r="K1953" t="n">
        <v>0.5712180794144383</v>
      </c>
      <c r="L1953" t="b">
        <v>0</v>
      </c>
      <c r="M1953" t="b">
        <v>0</v>
      </c>
      <c r="N1953" t="inlineStr">
        <is>
          <t>ref</t>
        </is>
      </c>
      <c r="O1953" t="n">
        <v>55</v>
      </c>
      <c r="P1953" t="n">
        <v>0.002567</v>
      </c>
      <c r="Q1953" t="n">
        <v>-80</v>
      </c>
      <c r="R1953" t="n">
        <v>0.2299</v>
      </c>
      <c r="S1953">
        <f>IMAGE("https://mitra.stanford.edu/kundaje/oak/projects/neuro-variants/variant_position/credible/roussos_2024/variant_figures/roussos_2024.adolescence.Astrocyte/rs62091471_count_position.png",4,220,900)</f>
        <v/>
      </c>
      <c r="T1953">
        <f>IMAGE("https://mitra.stanford.edu/kundaje/oak/projects/neuro-variants/variant_position/credible/roussos_2024/variant_figures/roussos_2024.adolescence.Astrocyte/rs62091471_profile_position.png",4,220,900)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0.0255859965199999</v>
      </c>
      <c r="G1954" t="n">
        <v>0.4805414448249062</v>
      </c>
      <c r="H1954" t="n">
        <v>0.0138626091939161</v>
      </c>
      <c r="I1954" t="n">
        <v>0.398807628438075</v>
      </c>
      <c r="J1954" t="n">
        <v>0.1118157137346823</v>
      </c>
      <c r="K1954" t="n">
        <v>0.3044789556418664</v>
      </c>
      <c r="L1954" t="b">
        <v>0</v>
      </c>
      <c r="M1954" t="b">
        <v>0</v>
      </c>
      <c r="N1954" t="inlineStr">
        <is>
          <t>alt</t>
        </is>
      </c>
      <c r="O1954" t="n">
        <v>60</v>
      </c>
      <c r="P1954" t="n">
        <v>0.02332</v>
      </c>
      <c r="Q1954" t="n">
        <v>-100</v>
      </c>
      <c r="R1954" t="n">
        <v>0.2976</v>
      </c>
      <c r="S1954">
        <f>IMAGE("https://mitra.stanford.edu/kundaje/oak/projects/neuro-variants/variant_position/credible/roussos_2024/variant_figures/roussos_2024.adolescence.Astrocyte/rs1808094_count_position.png",4,220,900)</f>
        <v/>
      </c>
      <c r="T1954">
        <f>IMAGE("https://mitra.stanford.edu/kundaje/oak/projects/neuro-variants/variant_position/credible/roussos_2024/variant_figures/roussos_2024.adolescence.Astrocyte/rs1808094_profile_position.png",4,220,900)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0.0172381482</v>
      </c>
      <c r="G1955" t="n">
        <v>0.6052756609275707</v>
      </c>
      <c r="H1955" t="n">
        <v>0.0309319893322347</v>
      </c>
      <c r="I1955" t="n">
        <v>0.0275065354324972</v>
      </c>
      <c r="J1955" t="n">
        <v>0.0130626353737055</v>
      </c>
      <c r="K1955" t="n">
        <v>0.6387698661594443</v>
      </c>
      <c r="L1955" t="b">
        <v>0</v>
      </c>
      <c r="M1955" t="b">
        <v>0</v>
      </c>
      <c r="N1955" t="inlineStr">
        <is>
          <t>alt</t>
        </is>
      </c>
      <c r="O1955" t="n">
        <v>100</v>
      </c>
      <c r="P1955" t="n">
        <v>0.0063</v>
      </c>
      <c r="Q1955" t="n">
        <v>30</v>
      </c>
      <c r="R1955" t="n">
        <v>0.004517</v>
      </c>
      <c r="S1955">
        <f>IMAGE("https://mitra.stanford.edu/kundaje/oak/projects/neuro-variants/variant_position/credible/roussos_2024/variant_figures/roussos_2024.adolescence.Astrocyte/rs1790947_count_position.png",4,220,900)</f>
        <v/>
      </c>
      <c r="T1955">
        <f>IMAGE("https://mitra.stanford.edu/kundaje/oak/projects/neuro-variants/variant_position/credible/roussos_2024/variant_figures/roussos_2024.adolescence.Astrocyte/rs1790947_profile_position.png",4,220,900)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0.10139487</v>
      </c>
      <c r="G1956" t="n">
        <v>0.0820549065705749</v>
      </c>
      <c r="H1956" t="n">
        <v>0.0133675424875158</v>
      </c>
      <c r="I1956" t="n">
        <v>0.4285046705977554</v>
      </c>
      <c r="J1956" t="n">
        <v>0.2381138177610301</v>
      </c>
      <c r="K1956" t="n">
        <v>0.1722996678903777</v>
      </c>
      <c r="L1956" t="b">
        <v>0</v>
      </c>
      <c r="M1956" t="b">
        <v>0</v>
      </c>
      <c r="N1956" t="inlineStr">
        <is>
          <t>alt</t>
        </is>
      </c>
      <c r="O1956" t="n">
        <v>30</v>
      </c>
      <c r="P1956" t="n">
        <v>0.002167</v>
      </c>
      <c r="Q1956" t="n">
        <v>-85</v>
      </c>
      <c r="R1956" t="n">
        <v>0.1902</v>
      </c>
      <c r="S1956">
        <f>IMAGE("https://mitra.stanford.edu/kundaje/oak/projects/neuro-variants/variant_position/credible/roussos_2024/variant_figures/roussos_2024.adolescence.Astrocyte/rs56249713_count_position.png",4,220,900)</f>
        <v/>
      </c>
      <c r="T1956">
        <f>IMAGE("https://mitra.stanford.edu/kundaje/oak/projects/neuro-variants/variant_position/credible/roussos_2024/variant_figures/roussos_2024.adolescence.Astrocyte/rs56249713_profile_position.png",4,220,900)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0.00273809826</v>
      </c>
      <c r="G1957" t="n">
        <v>0.8516622680999606</v>
      </c>
      <c r="H1957" t="n">
        <v>0.0286501951887573</v>
      </c>
      <c r="I1957" t="n">
        <v>0.0374466384605534</v>
      </c>
      <c r="J1957" t="n">
        <v>0.0771674628371361</v>
      </c>
      <c r="K1957" t="n">
        <v>0.3693699907217773</v>
      </c>
      <c r="L1957" t="b">
        <v>0</v>
      </c>
      <c r="M1957" t="b">
        <v>0</v>
      </c>
      <c r="N1957" t="inlineStr">
        <is>
          <t>alt</t>
        </is>
      </c>
      <c r="O1957" t="n">
        <v>60</v>
      </c>
      <c r="P1957" t="n">
        <v>0.06757000000000001</v>
      </c>
      <c r="Q1957" t="n">
        <v>-90</v>
      </c>
      <c r="R1957" t="n">
        <v>0.10986</v>
      </c>
      <c r="S1957">
        <f>IMAGE("https://mitra.stanford.edu/kundaje/oak/projects/neuro-variants/variant_position/credible/roussos_2024/variant_figures/roussos_2024.adolescence.Astrocyte/rs2554138_count_position.png",4,220,900)</f>
        <v/>
      </c>
      <c r="T1957">
        <f>IMAGE("https://mitra.stanford.edu/kundaje/oak/projects/neuro-variants/variant_position/credible/roussos_2024/variant_figures/roussos_2024.adolescence.Astrocyte/rs2554138_profile_position.png",4,220,900)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-0.00431286146</v>
      </c>
      <c r="G1958" t="n">
        <v>0.6406377754720406</v>
      </c>
      <c r="H1958" t="n">
        <v>0.0187199300709561</v>
      </c>
      <c r="I1958" t="n">
        <v>0.1677881224886895</v>
      </c>
      <c r="J1958" t="n">
        <v>0.0085133370916535</v>
      </c>
      <c r="K1958" t="n">
        <v>0.6797364520622693</v>
      </c>
      <c r="L1958" t="b">
        <v>0</v>
      </c>
      <c r="M1958" t="b">
        <v>0</v>
      </c>
      <c r="N1958" t="inlineStr">
        <is>
          <t>ref</t>
        </is>
      </c>
      <c r="O1958" t="n">
        <v>-35</v>
      </c>
      <c r="P1958" t="n">
        <v>0.001511</v>
      </c>
      <c r="Q1958" t="n">
        <v>95</v>
      </c>
      <c r="R1958" t="n">
        <v>0.0469</v>
      </c>
      <c r="S1958">
        <f>IMAGE("https://mitra.stanford.edu/kundaje/oak/projects/neuro-variants/variant_position/credible/roussos_2024/variant_figures/roussos_2024.adolescence.Astrocyte/rs2554132_count_position.png",4,220,900)</f>
        <v/>
      </c>
      <c r="T1958">
        <f>IMAGE("https://mitra.stanford.edu/kundaje/oak/projects/neuro-variants/variant_position/credible/roussos_2024/variant_figures/roussos_2024.adolescence.Astrocyte/rs2554132_profile_position.png",4,220,900)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-0.1609680202</v>
      </c>
      <c r="G1959" t="n">
        <v>0.0345460705670303</v>
      </c>
      <c r="H1959" t="n">
        <v>0.09404973174776531</v>
      </c>
      <c r="I1959" t="n">
        <v>0.0004938814454294</v>
      </c>
      <c r="J1959" t="n">
        <v>0.0211160727531673</v>
      </c>
      <c r="K1959" t="n">
        <v>0.5645402849630077</v>
      </c>
      <c r="L1959" t="b">
        <v>1</v>
      </c>
      <c r="M1959" t="b">
        <v>0</v>
      </c>
      <c r="N1959" t="inlineStr">
        <is>
          <t>ref</t>
        </is>
      </c>
      <c r="O1959" t="n">
        <v>-100</v>
      </c>
      <c r="P1959" t="n">
        <v>0.01596</v>
      </c>
      <c r="Q1959" t="n">
        <v>-100</v>
      </c>
      <c r="R1959" t="n">
        <v>0.1271</v>
      </c>
      <c r="S1959">
        <f>IMAGE("https://mitra.stanford.edu/kundaje/oak/projects/neuro-variants/variant_position/credible/roussos_2024/variant_figures/roussos_2024.adolescence.Astrocyte/rs17055966_count_position.png",4,220,900)</f>
        <v/>
      </c>
      <c r="T1959">
        <f>IMAGE("https://mitra.stanford.edu/kundaje/oak/projects/neuro-variants/variant_position/credible/roussos_2024/variant_figures/roussos_2024.adolescence.Astrocyte/rs17055966_profile_position.png",4,220,900)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0.048193651</v>
      </c>
      <c r="G1960" t="n">
        <v>0.2376855751270504</v>
      </c>
      <c r="H1960" t="n">
        <v>0.0201026245010543</v>
      </c>
      <c r="I1960" t="n">
        <v>0.1335342710734521</v>
      </c>
      <c r="J1960" t="n">
        <v>0.0009405690888051</v>
      </c>
      <c r="K1960" t="n">
        <v>0.8918900581027353</v>
      </c>
      <c r="L1960" t="b">
        <v>0</v>
      </c>
      <c r="M1960" t="b">
        <v>0</v>
      </c>
      <c r="N1960" t="inlineStr">
        <is>
          <t>alt</t>
        </is>
      </c>
      <c r="O1960" t="n">
        <v>-80</v>
      </c>
      <c r="P1960" t="n">
        <v>0.00903</v>
      </c>
      <c r="Q1960" t="n">
        <v>-80</v>
      </c>
      <c r="R1960" t="n">
        <v>0.12164</v>
      </c>
      <c r="S1960">
        <f>IMAGE("https://mitra.stanford.edu/kundaje/oak/projects/neuro-variants/variant_position/credible/roussos_2024/variant_figures/roussos_2024.adolescence.Astrocyte/rs2930551_count_position.png",4,220,900)</f>
        <v/>
      </c>
      <c r="T1960">
        <f>IMAGE("https://mitra.stanford.edu/kundaje/oak/projects/neuro-variants/variant_position/credible/roussos_2024/variant_figures/roussos_2024.adolescence.Astrocyte/rs2930551_profile_position.png",4,220,900)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-0.0169156391</v>
      </c>
      <c r="G1961" t="n">
        <v>0.6105280565106681</v>
      </c>
      <c r="H1961" t="n">
        <v>0.0066949532969022</v>
      </c>
      <c r="I1961" t="n">
        <v>0.9851674504850986</v>
      </c>
      <c r="J1961" t="n">
        <v>0.0009746906803547</v>
      </c>
      <c r="K1961" t="n">
        <v>0.8864266667713622</v>
      </c>
      <c r="L1961" t="b">
        <v>0</v>
      </c>
      <c r="M1961" t="b">
        <v>0</v>
      </c>
      <c r="N1961" t="inlineStr">
        <is>
          <t>ref</t>
        </is>
      </c>
      <c r="O1961" t="n">
        <v>65</v>
      </c>
      <c r="P1961" t="n">
        <v>0.00698</v>
      </c>
      <c r="Q1961" t="n">
        <v>-60</v>
      </c>
      <c r="R1961" t="n">
        <v>0.09619999999999999</v>
      </c>
      <c r="S1961">
        <f>IMAGE("https://mitra.stanford.edu/kundaje/oak/projects/neuro-variants/variant_position/credible/roussos_2024/variant_figures/roussos_2024.adolescence.Astrocyte/rs4891202_count_position.png",4,220,900)</f>
        <v/>
      </c>
      <c r="T1961">
        <f>IMAGE("https://mitra.stanford.edu/kundaje/oak/projects/neuro-variants/variant_position/credible/roussos_2024/variant_figures/roussos_2024.adolescence.Astrocyte/rs4891202_profile_position.png",4,220,900)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-0.12509438824</v>
      </c>
      <c r="G1962" t="n">
        <v>0.0616344209237917</v>
      </c>
      <c r="H1962" t="n">
        <v>0.0178440387875578</v>
      </c>
      <c r="I1962" t="n">
        <v>0.2076851823617915</v>
      </c>
      <c r="J1962" t="n">
        <v>0.06370872029196201</v>
      </c>
      <c r="K1962" t="n">
        <v>0.3942850859092598</v>
      </c>
      <c r="L1962" t="b">
        <v>0</v>
      </c>
      <c r="M1962" t="b">
        <v>0</v>
      </c>
      <c r="N1962" t="inlineStr">
        <is>
          <t>ref</t>
        </is>
      </c>
      <c r="O1962" t="n">
        <v>-45</v>
      </c>
      <c r="P1962" t="n">
        <v>0.004448</v>
      </c>
      <c r="Q1962" t="n">
        <v>-50</v>
      </c>
      <c r="R1962" t="n">
        <v>0.05762</v>
      </c>
      <c r="S1962">
        <f>IMAGE("https://mitra.stanford.edu/kundaje/oak/projects/neuro-variants/variant_position/credible/roussos_2024/variant_figures/roussos_2024.adolescence.Astrocyte/rs7243542_count_position.png",4,220,900)</f>
        <v/>
      </c>
      <c r="T1962">
        <f>IMAGE("https://mitra.stanford.edu/kundaje/oak/projects/neuro-variants/variant_position/credible/roussos_2024/variant_figures/roussos_2024.adolescence.Astrocyte/rs7243542_profile_position.png",4,220,900)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0.288404564</v>
      </c>
      <c r="G1963" t="n">
        <v>0.0069344579127978</v>
      </c>
      <c r="H1963" t="n">
        <v>0.0386097905134361</v>
      </c>
      <c r="I1963" t="n">
        <v>0.0113818466634391</v>
      </c>
      <c r="J1963" t="n">
        <v>0.0127177105895617</v>
      </c>
      <c r="K1963" t="n">
        <v>0.6828743950670114</v>
      </c>
      <c r="L1963" t="b">
        <v>1</v>
      </c>
      <c r="M1963" t="b">
        <v>1</v>
      </c>
      <c r="N1963" t="inlineStr">
        <is>
          <t>alt</t>
        </is>
      </c>
      <c r="O1963" t="n">
        <v>65</v>
      </c>
      <c r="P1963" t="n">
        <v>0.004456</v>
      </c>
      <c r="Q1963" t="n">
        <v>50</v>
      </c>
      <c r="R1963" t="n">
        <v>0.05762</v>
      </c>
      <c r="S1963">
        <f>IMAGE("https://mitra.stanford.edu/kundaje/oak/projects/neuro-variants/variant_position/credible/roussos_2024/variant_figures/roussos_2024.adolescence.Astrocyte/rs61019476_count_position.png",4,220,900)</f>
        <v/>
      </c>
      <c r="T1963">
        <f>IMAGE("https://mitra.stanford.edu/kundaje/oak/projects/neuro-variants/variant_position/credible/roussos_2024/variant_figures/roussos_2024.adolescence.Astrocyte/rs61019476_profile_position.png",4,220,900)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0.169703467</v>
      </c>
      <c r="G1964" t="n">
        <v>0.0324516541485043</v>
      </c>
      <c r="H1964" t="n">
        <v>0.0181939363265583</v>
      </c>
      <c r="I1964" t="n">
        <v>0.1935988987210974</v>
      </c>
      <c r="J1964" t="n">
        <v>0.0112638340800521</v>
      </c>
      <c r="K1964" t="n">
        <v>0.6490887551937935</v>
      </c>
      <c r="L1964" t="b">
        <v>0</v>
      </c>
      <c r="M1964" t="b">
        <v>0</v>
      </c>
      <c r="N1964" t="inlineStr">
        <is>
          <t>alt</t>
        </is>
      </c>
      <c r="O1964" t="n">
        <v>100</v>
      </c>
      <c r="P1964" t="n">
        <v>0.00409</v>
      </c>
      <c r="Q1964" t="n">
        <v>40</v>
      </c>
      <c r="R1964" t="n">
        <v>0.08026</v>
      </c>
      <c r="S1964">
        <f>IMAGE("https://mitra.stanford.edu/kundaje/oak/projects/neuro-variants/variant_position/credible/roussos_2024/variant_figures/roussos_2024.adolescence.Astrocyte/rs4891041_count_position.png",4,220,900)</f>
        <v/>
      </c>
      <c r="T1964">
        <f>IMAGE("https://mitra.stanford.edu/kundaje/oak/projects/neuro-variants/variant_position/credible/roussos_2024/variant_figures/roussos_2024.adolescence.Astrocyte/rs4891041_profile_position.png",4,220,900)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-0.0288823424</v>
      </c>
      <c r="G1965" t="n">
        <v>0.2845331963797571</v>
      </c>
      <c r="H1965" t="n">
        <v>0.0125223349617211</v>
      </c>
      <c r="I1965" t="n">
        <v>0.4929860604447523</v>
      </c>
      <c r="J1965" t="n">
        <v>0.0169524968103729</v>
      </c>
      <c r="K1965" t="n">
        <v>0.6100729859744664</v>
      </c>
      <c r="L1965" t="b">
        <v>0</v>
      </c>
      <c r="M1965" t="b">
        <v>0</v>
      </c>
      <c r="N1965" t="inlineStr">
        <is>
          <t>ref</t>
        </is>
      </c>
      <c r="O1965" t="n">
        <v>100</v>
      </c>
      <c r="P1965" t="n">
        <v>0.0239</v>
      </c>
      <c r="Q1965" t="n">
        <v>20</v>
      </c>
      <c r="R1965" t="n">
        <v>0.02246</v>
      </c>
      <c r="S1965">
        <f>IMAGE("https://mitra.stanford.edu/kundaje/oak/projects/neuro-variants/variant_position/credible/roussos_2024/variant_figures/roussos_2024.adolescence.Astrocyte/rs4334389_count_position.png",4,220,900)</f>
        <v/>
      </c>
      <c r="T1965">
        <f>IMAGE("https://mitra.stanford.edu/kundaje/oak/projects/neuro-variants/variant_position/credible/roussos_2024/variant_figures/roussos_2024.adolescence.Astrocyte/rs4334389_profile_position.png",4,220,900)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-0.0200828776</v>
      </c>
      <c r="G1966" t="n">
        <v>0.4982153429843667</v>
      </c>
      <c r="H1966" t="n">
        <v>0.0140796826562737</v>
      </c>
      <c r="I1966" t="n">
        <v>0.3810692330128492</v>
      </c>
      <c r="J1966" t="n">
        <v>0.1954566359077826</v>
      </c>
      <c r="K1966" t="n">
        <v>0.2062174546004877</v>
      </c>
      <c r="L1966" t="b">
        <v>0</v>
      </c>
      <c r="M1966" t="b">
        <v>0</v>
      </c>
      <c r="N1966" t="inlineStr">
        <is>
          <t>ref</t>
        </is>
      </c>
      <c r="O1966" t="n">
        <v>-55</v>
      </c>
      <c r="P1966" t="n">
        <v>0.004986</v>
      </c>
      <c r="Q1966" t="n">
        <v>100</v>
      </c>
      <c r="R1966" t="n">
        <v>0.0601</v>
      </c>
      <c r="S1966">
        <f>IMAGE("https://mitra.stanford.edu/kundaje/oak/projects/neuro-variants/variant_position/credible/roussos_2024/variant_figures/roussos_2024.adolescence.Astrocyte/rs9963429_count_position.png",4,220,900)</f>
        <v/>
      </c>
      <c r="T1966">
        <f>IMAGE("https://mitra.stanford.edu/kundaje/oak/projects/neuro-variants/variant_position/credible/roussos_2024/variant_figures/roussos_2024.adolescence.Astrocyte/rs9963429_profile_position.png",4,220,900)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0.052999064</v>
      </c>
      <c r="G1967" t="n">
        <v>0.2131332366588465</v>
      </c>
      <c r="H1967" t="n">
        <v>0.0114549573485671</v>
      </c>
      <c r="I1967" t="n">
        <v>0.5911190550781459</v>
      </c>
      <c r="J1967" t="n">
        <v>0.06931059549594989</v>
      </c>
      <c r="K1967" t="n">
        <v>0.3847279227245752</v>
      </c>
      <c r="L1967" t="b">
        <v>0</v>
      </c>
      <c r="M1967" t="b">
        <v>0</v>
      </c>
      <c r="N1967" t="inlineStr">
        <is>
          <t>alt</t>
        </is>
      </c>
      <c r="O1967" t="n">
        <v>90</v>
      </c>
      <c r="P1967" t="n">
        <v>0.01701</v>
      </c>
      <c r="Q1967" t="n">
        <v>0</v>
      </c>
      <c r="R1967" t="n">
        <v>0</v>
      </c>
      <c r="S1967">
        <f>IMAGE("https://mitra.stanford.edu/kundaje/oak/projects/neuro-variants/variant_position/credible/roussos_2024/variant_figures/roussos_2024.adolescence.Astrocyte/rs4891211_count_position.png",4,220,900)</f>
        <v/>
      </c>
      <c r="T1967">
        <f>IMAGE("https://mitra.stanford.edu/kundaje/oak/projects/neuro-variants/variant_position/credible/roussos_2024/variant_figures/roussos_2024.adolescence.Astrocyte/rs4891211_profile_position.png",4,220,900)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-0.00680126538</v>
      </c>
      <c r="G1968" t="n">
        <v>0.8052703265627688</v>
      </c>
      <c r="H1968" t="n">
        <v>0.0248919947318764</v>
      </c>
      <c r="I1968" t="n">
        <v>0.0650052648516628</v>
      </c>
      <c r="J1968" t="n">
        <v>0.038945346111622</v>
      </c>
      <c r="K1968" t="n">
        <v>0.4742927809928861</v>
      </c>
      <c r="L1968" t="b">
        <v>0</v>
      </c>
      <c r="M1968" t="b">
        <v>0</v>
      </c>
      <c r="N1968" t="inlineStr">
        <is>
          <t>ref</t>
        </is>
      </c>
      <c r="O1968" t="n">
        <v>-55</v>
      </c>
      <c r="P1968" t="n">
        <v>0.002686</v>
      </c>
      <c r="Q1968" t="n">
        <v>-90</v>
      </c>
      <c r="R1968" t="n">
        <v>0.126</v>
      </c>
      <c r="S1968">
        <f>IMAGE("https://mitra.stanford.edu/kundaje/oak/projects/neuro-variants/variant_position/credible/roussos_2024/variant_figures/roussos_2024.adolescence.Astrocyte/rs4891042_count_position.png",4,220,900)</f>
        <v/>
      </c>
      <c r="T1968">
        <f>IMAGE("https://mitra.stanford.edu/kundaje/oak/projects/neuro-variants/variant_position/credible/roussos_2024/variant_figures/roussos_2024.adolescence.Astrocyte/rs4891042_profile_position.png",4,220,900)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-0.167457368</v>
      </c>
      <c r="G1969" t="n">
        <v>0.0304881874038231</v>
      </c>
      <c r="H1969" t="n">
        <v>0.0363970355955297</v>
      </c>
      <c r="I1969" t="n">
        <v>0.0142900462040388</v>
      </c>
      <c r="J1969" t="n">
        <v>0.0258100169124409</v>
      </c>
      <c r="K1969" t="n">
        <v>0.5326777641943479</v>
      </c>
      <c r="L1969" t="b">
        <v>1</v>
      </c>
      <c r="M1969" t="b">
        <v>0</v>
      </c>
      <c r="N1969" t="inlineStr">
        <is>
          <t>ref</t>
        </is>
      </c>
      <c r="O1969" t="n">
        <v>55</v>
      </c>
      <c r="P1969" t="n">
        <v>0.005028</v>
      </c>
      <c r="Q1969" t="n">
        <v>-5</v>
      </c>
      <c r="R1969" t="n">
        <v>0.002075</v>
      </c>
      <c r="S1969">
        <f>IMAGE("https://mitra.stanford.edu/kundaje/oak/projects/neuro-variants/variant_position/credible/roussos_2024/variant_figures/roussos_2024.adolescence.Astrocyte/rs9964094_count_position.png",4,220,900)</f>
        <v/>
      </c>
      <c r="T1969">
        <f>IMAGE("https://mitra.stanford.edu/kundaje/oak/projects/neuro-variants/variant_position/credible/roussos_2024/variant_figures/roussos_2024.adolescence.Astrocyte/rs9964094_profile_position.png",4,220,900)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0.18106357</v>
      </c>
      <c r="G1970" t="n">
        <v>0.0245602603137587</v>
      </c>
      <c r="H1970" t="n">
        <v>0.0206431817206831</v>
      </c>
      <c r="I1970" t="n">
        <v>0.1317362352639875</v>
      </c>
      <c r="J1970" t="n">
        <v>0.0461353588701302</v>
      </c>
      <c r="K1970" t="n">
        <v>0.4473017905113616</v>
      </c>
      <c r="L1970" t="b">
        <v>0</v>
      </c>
      <c r="M1970" t="b">
        <v>0</v>
      </c>
      <c r="N1970" t="inlineStr">
        <is>
          <t>alt</t>
        </is>
      </c>
      <c r="O1970" t="n">
        <v>10</v>
      </c>
      <c r="P1970" t="n">
        <v>0.0004578</v>
      </c>
      <c r="Q1970" t="n">
        <v>-70</v>
      </c>
      <c r="R1970" t="n">
        <v>0.0653</v>
      </c>
      <c r="S1970">
        <f>IMAGE("https://mitra.stanford.edu/kundaje/oak/projects/neuro-variants/variant_position/credible/roussos_2024/variant_figures/roussos_2024.adolescence.Astrocyte/rs9964170_count_position.png",4,220,900)</f>
        <v/>
      </c>
      <c r="T1970">
        <f>IMAGE("https://mitra.stanford.edu/kundaje/oak/projects/neuro-variants/variant_position/credible/roussos_2024/variant_figures/roussos_2024.adolescence.Astrocyte/rs9964170_profile_position.png",4,220,900)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-0.00084779104</v>
      </c>
      <c r="G1971" t="n">
        <v>0.5212282404089355</v>
      </c>
      <c r="H1971" t="n">
        <v>0.017303513161199</v>
      </c>
      <c r="I1971" t="n">
        <v>0.2166054013170961</v>
      </c>
      <c r="J1971" t="n">
        <v>0.2363751001394534</v>
      </c>
      <c r="K1971" t="n">
        <v>0.1737953473054814</v>
      </c>
      <c r="L1971" t="b">
        <v>0</v>
      </c>
      <c r="M1971" t="b">
        <v>0</v>
      </c>
      <c r="N1971" t="inlineStr">
        <is>
          <t>ref</t>
        </is>
      </c>
      <c r="O1971" t="n">
        <v>-30</v>
      </c>
      <c r="P1971" t="n">
        <v>0.00074</v>
      </c>
      <c r="Q1971" t="n">
        <v>30</v>
      </c>
      <c r="R1971" t="n">
        <v>0.03552</v>
      </c>
      <c r="S1971">
        <f>IMAGE("https://mitra.stanford.edu/kundaje/oak/projects/neuro-variants/variant_position/credible/roussos_2024/variant_figures/roussos_2024.adolescence.Astrocyte/rs2920353_count_position.png",4,220,900)</f>
        <v/>
      </c>
      <c r="T1971">
        <f>IMAGE("https://mitra.stanford.edu/kundaje/oak/projects/neuro-variants/variant_position/credible/roussos_2024/variant_figures/roussos_2024.adolescence.Astrocyte/rs2920353_profile_position.png",4,220,900)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0.072322107</v>
      </c>
      <c r="G1972" t="n">
        <v>0.1349275767970395</v>
      </c>
      <c r="H1972" t="n">
        <v>0.0115068832665712</v>
      </c>
      <c r="I1972" t="n">
        <v>0.5884895695386384</v>
      </c>
      <c r="J1972" t="n">
        <v>0.1179197697534343</v>
      </c>
      <c r="K1972" t="n">
        <v>0.2942252748148782</v>
      </c>
      <c r="L1972" t="b">
        <v>0</v>
      </c>
      <c r="M1972" t="b">
        <v>0</v>
      </c>
      <c r="N1972" t="inlineStr">
        <is>
          <t>alt</t>
        </is>
      </c>
      <c r="O1972" t="n">
        <v>80</v>
      </c>
      <c r="P1972" t="n">
        <v>0.002155</v>
      </c>
      <c r="Q1972" t="n">
        <v>-100</v>
      </c>
      <c r="R1972" t="n">
        <v>0.0227</v>
      </c>
      <c r="S1972">
        <f>IMAGE("https://mitra.stanford.edu/kundaje/oak/projects/neuro-variants/variant_position/credible/roussos_2024/variant_figures/roussos_2024.adolescence.Astrocyte/rs9947731_count_position.png",4,220,900)</f>
        <v/>
      </c>
      <c r="T1972">
        <f>IMAGE("https://mitra.stanford.edu/kundaje/oak/projects/neuro-variants/variant_position/credible/roussos_2024/variant_figures/roussos_2024.adolescence.Astrocyte/rs9947731_profile_position.png",4,220,900)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0.0187806114</v>
      </c>
      <c r="G1973" t="n">
        <v>0.5687867574227795</v>
      </c>
      <c r="H1973" t="n">
        <v>0.0081089052561331</v>
      </c>
      <c r="I1973" t="n">
        <v>0.8886109858725528</v>
      </c>
      <c r="J1973" t="n">
        <v>0.1969602112571581</v>
      </c>
      <c r="K1973" t="n">
        <v>0.2066593568385643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0.0094</v>
      </c>
      <c r="Q1973" t="n">
        <v>-90</v>
      </c>
      <c r="R1973" t="n">
        <v>0.1445</v>
      </c>
      <c r="S1973">
        <f>IMAGE("https://mitra.stanford.edu/kundaje/oak/projects/neuro-variants/variant_position/credible/roussos_2024/variant_figures/roussos_2024.adolescence.Astrocyte/rs7241108_count_position.png",4,220,900)</f>
        <v/>
      </c>
      <c r="T1973">
        <f>IMAGE("https://mitra.stanford.edu/kundaje/oak/projects/neuro-variants/variant_position/credible/roussos_2024/variant_figures/roussos_2024.adolescence.Astrocyte/rs7241108_profile_position.png",4,220,900)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0.0153318944599999</v>
      </c>
      <c r="G1974" t="n">
        <v>0.6349453638482603</v>
      </c>
      <c r="H1974" t="n">
        <v>0.0088634063915975</v>
      </c>
      <c r="I1974" t="n">
        <v>0.8550769431542458</v>
      </c>
      <c r="J1974" t="n">
        <v>0.0267327834317419</v>
      </c>
      <c r="K1974" t="n">
        <v>0.5353348137546075</v>
      </c>
      <c r="L1974" t="b">
        <v>0</v>
      </c>
      <c r="M1974" t="b">
        <v>0</v>
      </c>
      <c r="N1974" t="inlineStr">
        <is>
          <t>alt</t>
        </is>
      </c>
      <c r="O1974" t="n">
        <v>40</v>
      </c>
      <c r="P1974" t="n">
        <v>0.001255</v>
      </c>
      <c r="Q1974" t="n">
        <v>-70</v>
      </c>
      <c r="R1974" t="n">
        <v>0.1199</v>
      </c>
      <c r="S1974">
        <f>IMAGE("https://mitra.stanford.edu/kundaje/oak/projects/neuro-variants/variant_position/credible/roussos_2024/variant_figures/roussos_2024.adolescence.Astrocyte/rs9961644_count_position.png",4,220,900)</f>
        <v/>
      </c>
      <c r="T1974">
        <f>IMAGE("https://mitra.stanford.edu/kundaje/oak/projects/neuro-variants/variant_position/credible/roussos_2024/variant_figures/roussos_2024.adolescence.Astrocyte/rs9961644_profile_position.png",4,220,900)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0.0013300289399999</v>
      </c>
      <c r="G1975" t="n">
        <v>0.5115171787561292</v>
      </c>
      <c r="H1975" t="n">
        <v>0.0094076870084589</v>
      </c>
      <c r="I1975" t="n">
        <v>0.7954875712639274</v>
      </c>
      <c r="J1975" t="n">
        <v>0.1042733584547369</v>
      </c>
      <c r="K1975" t="n">
        <v>0.3207362990354528</v>
      </c>
      <c r="L1975" t="b">
        <v>0</v>
      </c>
      <c r="M1975" t="b">
        <v>0</v>
      </c>
      <c r="N1975" t="inlineStr">
        <is>
          <t>alt</t>
        </is>
      </c>
      <c r="O1975" t="n">
        <v>-100</v>
      </c>
      <c r="P1975" t="n">
        <v>0.002459</v>
      </c>
      <c r="Q1975" t="n">
        <v>-100</v>
      </c>
      <c r="R1975" t="n">
        <v>0.1333</v>
      </c>
      <c r="S1975">
        <f>IMAGE("https://mitra.stanford.edu/kundaje/oak/projects/neuro-variants/variant_position/credible/roussos_2024/variant_figures/roussos_2024.adolescence.Astrocyte/rs7234127_count_position.png",4,220,900)</f>
        <v/>
      </c>
      <c r="T1975">
        <f>IMAGE("https://mitra.stanford.edu/kundaje/oak/projects/neuro-variants/variant_position/credible/roussos_2024/variant_figures/roussos_2024.adolescence.Astrocyte/rs7234127_profile_position.png",4,220,900)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0.028015664</v>
      </c>
      <c r="G1976" t="n">
        <v>0.4377080174431216</v>
      </c>
      <c r="H1976" t="n">
        <v>0.0206188005829649</v>
      </c>
      <c r="I1976" t="n">
        <v>0.1246810780373912</v>
      </c>
      <c r="J1976" t="n">
        <v>0.0003560513900839</v>
      </c>
      <c r="K1976" t="n">
        <v>0.9375557840145584</v>
      </c>
      <c r="L1976" t="b">
        <v>0</v>
      </c>
      <c r="M1976" t="b">
        <v>0</v>
      </c>
      <c r="N1976" t="inlineStr">
        <is>
          <t>alt</t>
        </is>
      </c>
      <c r="O1976" t="n">
        <v>100</v>
      </c>
      <c r="P1976" t="n">
        <v>0.00796</v>
      </c>
      <c r="Q1976" t="n">
        <v>70</v>
      </c>
      <c r="R1976" t="n">
        <v>0.09470000000000001</v>
      </c>
      <c r="S1976">
        <f>IMAGE("https://mitra.stanford.edu/kundaje/oak/projects/neuro-variants/variant_position/credible/roussos_2024/variant_figures/roussos_2024.adolescence.Astrocyte/rs9950694_count_position.png",4,220,900)</f>
        <v/>
      </c>
      <c r="T1976">
        <f>IMAGE("https://mitra.stanford.edu/kundaje/oak/projects/neuro-variants/variant_position/credible/roussos_2024/variant_figures/roussos_2024.adolescence.Astrocyte/rs9950694_profile_position.png",4,220,900)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0.00372680046</v>
      </c>
      <c r="G1977" t="n">
        <v>0.8664426833158827</v>
      </c>
      <c r="H1977" t="n">
        <v>0.0264862242516511</v>
      </c>
      <c r="I1977" t="n">
        <v>0.0507237413001044</v>
      </c>
      <c r="J1977" t="n">
        <v>0.0018692697979408</v>
      </c>
      <c r="K1977" t="n">
        <v>0.8433458636306248</v>
      </c>
      <c r="L1977" t="b">
        <v>0</v>
      </c>
      <c r="M1977" t="b">
        <v>0</v>
      </c>
      <c r="N1977" t="inlineStr">
        <is>
          <t>alt</t>
        </is>
      </c>
      <c r="O1977" t="n">
        <v>-15</v>
      </c>
      <c r="P1977" t="n">
        <v>0.003435</v>
      </c>
      <c r="Q1977" t="n">
        <v>80</v>
      </c>
      <c r="R1977" t="n">
        <v>0.2368</v>
      </c>
      <c r="S1977">
        <f>IMAGE("https://mitra.stanford.edu/kundaje/oak/projects/neuro-variants/variant_position/credible/roussos_2024/variant_figures/roussos_2024.adolescence.Astrocyte/rs894577_count_position.png",4,220,900)</f>
        <v/>
      </c>
      <c r="T1977">
        <f>IMAGE("https://mitra.stanford.edu/kundaje/oak/projects/neuro-variants/variant_position/credible/roussos_2024/variant_figures/roussos_2024.adolescence.Astrocyte/rs894577_profile_position.png",4,220,900)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-0.20529567</v>
      </c>
      <c r="G1978" t="n">
        <v>0.0285039064446339</v>
      </c>
      <c r="H1978" t="n">
        <v>0.0356999109359552</v>
      </c>
      <c r="I1978" t="n">
        <v>0.0176015416577733</v>
      </c>
      <c r="J1978" t="n">
        <v>0.096927573213067</v>
      </c>
      <c r="K1978" t="n">
        <v>0.3327193239776544</v>
      </c>
      <c r="L1978" t="b">
        <v>1</v>
      </c>
      <c r="M1978" t="b">
        <v>0</v>
      </c>
      <c r="N1978" t="inlineStr">
        <is>
          <t>ref</t>
        </is>
      </c>
      <c r="O1978" t="n">
        <v>-25</v>
      </c>
      <c r="P1978" t="n">
        <v>0.00656</v>
      </c>
      <c r="Q1978" t="n">
        <v>-20</v>
      </c>
      <c r="R1978" t="n">
        <v>0.03247</v>
      </c>
      <c r="S1978">
        <f>IMAGE("https://mitra.stanford.edu/kundaje/oak/projects/neuro-variants/variant_position/credible/roussos_2024/variant_figures/roussos_2024.adolescence.Astrocyte/rs9319675_count_position.png",4,220,900)</f>
        <v/>
      </c>
      <c r="T1978">
        <f>IMAGE("https://mitra.stanford.edu/kundaje/oak/projects/neuro-variants/variant_position/credible/roussos_2024/variant_figures/roussos_2024.adolescence.Astrocyte/rs9319675_profile_position.png",4,220,900)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-0.096306815</v>
      </c>
      <c r="G1979" t="n">
        <v>0.0837917811957014</v>
      </c>
      <c r="H1979" t="n">
        <v>0.0152076266312176</v>
      </c>
      <c r="I1979" t="n">
        <v>0.3161152151398301</v>
      </c>
      <c r="J1979" t="n">
        <v>0.0227427825416134</v>
      </c>
      <c r="K1979" t="n">
        <v>0.5522692513018341</v>
      </c>
      <c r="L1979" t="b">
        <v>0</v>
      </c>
      <c r="M1979" t="b">
        <v>0</v>
      </c>
      <c r="N1979" t="inlineStr">
        <is>
          <t>ref</t>
        </is>
      </c>
      <c r="O1979" t="n">
        <v>75</v>
      </c>
      <c r="P1979" t="n">
        <v>0.004135</v>
      </c>
      <c r="Q1979" t="n">
        <v>-95</v>
      </c>
      <c r="R1979" t="n">
        <v>0.1348</v>
      </c>
      <c r="S1979">
        <f>IMAGE("https://mitra.stanford.edu/kundaje/oak/projects/neuro-variants/variant_position/credible/roussos_2024/variant_figures/roussos_2024.adolescence.Astrocyte/rs4891221_count_position.png",4,220,900)</f>
        <v/>
      </c>
      <c r="T1979">
        <f>IMAGE("https://mitra.stanford.edu/kundaje/oak/projects/neuro-variants/variant_position/credible/roussos_2024/variant_figures/roussos_2024.adolescence.Astrocyte/rs4891221_profile_position.png",4,220,900)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0.0065468062999999</v>
      </c>
      <c r="G1980" t="n">
        <v>0.6887458161886383</v>
      </c>
      <c r="H1980" t="n">
        <v>0.0128224387786397</v>
      </c>
      <c r="I1980" t="n">
        <v>0.4778089031745449</v>
      </c>
      <c r="J1980" t="n">
        <v>0.3300470284544402</v>
      </c>
      <c r="K1980" t="n">
        <v>0.1191131749762175</v>
      </c>
      <c r="L1980" t="b">
        <v>0</v>
      </c>
      <c r="M1980" t="b">
        <v>0</v>
      </c>
      <c r="N1980" t="inlineStr">
        <is>
          <t>alt</t>
        </is>
      </c>
      <c r="O1980" t="n">
        <v>5</v>
      </c>
      <c r="P1980" t="n">
        <v>9.92e-05</v>
      </c>
      <c r="Q1980" t="n">
        <v>100</v>
      </c>
      <c r="R1980" t="n">
        <v>0.04602</v>
      </c>
      <c r="S1980">
        <f>IMAGE("https://mitra.stanford.edu/kundaje/oak/projects/neuro-variants/variant_position/credible/roussos_2024/variant_figures/roussos_2024.adolescence.Astrocyte/rs115000070_count_position.png",4,220,900)</f>
        <v/>
      </c>
      <c r="T1980">
        <f>IMAGE("https://mitra.stanford.edu/kundaje/oak/projects/neuro-variants/variant_position/credible/roussos_2024/variant_figures/roussos_2024.adolescence.Astrocyte/rs115000070_profile_position.png",4,220,900)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-0.104791426</v>
      </c>
      <c r="G1981" t="n">
        <v>0.07353630167735591</v>
      </c>
      <c r="H1981" t="n">
        <v>0.0378433701944913</v>
      </c>
      <c r="I1981" t="n">
        <v>0.0120977268648462</v>
      </c>
      <c r="J1981" t="n">
        <v>0.625566715129217</v>
      </c>
      <c r="K1981" t="n">
        <v>0.0287782888814228</v>
      </c>
      <c r="L1981" t="b">
        <v>1</v>
      </c>
      <c r="M1981" t="b">
        <v>0</v>
      </c>
      <c r="N1981" t="inlineStr">
        <is>
          <t>ref</t>
        </is>
      </c>
      <c r="O1981" t="n">
        <v>-50</v>
      </c>
      <c r="P1981" t="n">
        <v>0.01842</v>
      </c>
      <c r="Q1981" t="n">
        <v>85</v>
      </c>
      <c r="R1981" t="n">
        <v>0.1464</v>
      </c>
      <c r="S1981">
        <f>IMAGE("https://mitra.stanford.edu/kundaje/oak/projects/neuro-variants/variant_position/credible/roussos_2024/variant_figures/roussos_2024.adolescence.Astrocyte/rs12457876_count_position.png",4,220,900)</f>
        <v/>
      </c>
      <c r="T1981">
        <f>IMAGE("https://mitra.stanford.edu/kundaje/oak/projects/neuro-variants/variant_position/credible/roussos_2024/variant_figures/roussos_2024.adolescence.Astrocyte/rs12457876_profile_position.png",4,220,900)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-0.0311877179999999</v>
      </c>
      <c r="G1982" t="n">
        <v>0.2541107410702102</v>
      </c>
      <c r="H1982" t="n">
        <v>0.0150806499225454</v>
      </c>
      <c r="I1982" t="n">
        <v>0.3259829412146546</v>
      </c>
      <c r="J1982" t="n">
        <v>0.3505095985520576</v>
      </c>
      <c r="K1982" t="n">
        <v>0.1087454650530227</v>
      </c>
      <c r="L1982" t="b">
        <v>0</v>
      </c>
      <c r="M1982" t="b">
        <v>0</v>
      </c>
      <c r="N1982" t="inlineStr">
        <is>
          <t>ref</t>
        </is>
      </c>
      <c r="O1982" t="n">
        <v>40</v>
      </c>
      <c r="P1982" t="n">
        <v>0.001194</v>
      </c>
      <c r="Q1982" t="n">
        <v>-90</v>
      </c>
      <c r="R1982" t="n">
        <v>0.03125</v>
      </c>
      <c r="S1982">
        <f>IMAGE("https://mitra.stanford.edu/kundaje/oak/projects/neuro-variants/variant_position/credible/roussos_2024/variant_figures/roussos_2024.adolescence.Astrocyte/rs11664298_count_position.png",4,220,900)</f>
        <v/>
      </c>
      <c r="T1982">
        <f>IMAGE("https://mitra.stanford.edu/kundaje/oak/projects/neuro-variants/variant_position/credible/roussos_2024/variant_figures/roussos_2024.adolescence.Astrocyte/rs11664298_profile_position.png",4,220,900)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0.1594031867999999</v>
      </c>
      <c r="G1983" t="n">
        <v>0.0300370486241686</v>
      </c>
      <c r="H1983" t="n">
        <v>0.037127715426005</v>
      </c>
      <c r="I1983" t="n">
        <v>0.0136360569097025</v>
      </c>
      <c r="J1983" t="n">
        <v>0.6190554253330564</v>
      </c>
      <c r="K1983" t="n">
        <v>0.0304602050602329</v>
      </c>
      <c r="L1983" t="b">
        <v>1</v>
      </c>
      <c r="M1983" t="b">
        <v>0</v>
      </c>
      <c r="N1983" t="inlineStr">
        <is>
          <t>alt</t>
        </is>
      </c>
      <c r="O1983" t="n">
        <v>45</v>
      </c>
      <c r="P1983" t="n">
        <v>0.006096</v>
      </c>
      <c r="Q1983" t="n">
        <v>-45</v>
      </c>
      <c r="R1983" t="n">
        <v>0.0577</v>
      </c>
      <c r="S1983">
        <f>IMAGE("https://mitra.stanford.edu/kundaje/oak/projects/neuro-variants/variant_position/credible/roussos_2024/variant_figures/roussos_2024.adolescence.Astrocyte/rs59183289_count_position.png",4,220,900)</f>
        <v/>
      </c>
      <c r="T1983">
        <f>IMAGE("https://mitra.stanford.edu/kundaje/oak/projects/neuro-variants/variant_position/credible/roussos_2024/variant_figures/roussos_2024.adolescence.Astrocyte/rs59183289_profile_position.png",4,220,900)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-0.0012713524799999</v>
      </c>
      <c r="G1984" t="n">
        <v>0.5245974137706566</v>
      </c>
      <c r="H1984" t="n">
        <v>0.0228650002166679</v>
      </c>
      <c r="I1984" t="n">
        <v>0.0909255474643797</v>
      </c>
      <c r="J1984" t="n">
        <v>0.5934746165029819</v>
      </c>
      <c r="K1984" t="n">
        <v>0.0352826399707192</v>
      </c>
      <c r="L1984" t="b">
        <v>0</v>
      </c>
      <c r="M1984" t="b">
        <v>0</v>
      </c>
      <c r="N1984" t="inlineStr">
        <is>
          <t>ref</t>
        </is>
      </c>
      <c r="O1984" t="n">
        <v>90</v>
      </c>
      <c r="P1984" t="n">
        <v>0.007900000000000001</v>
      </c>
      <c r="Q1984" t="n">
        <v>15</v>
      </c>
      <c r="R1984" t="n">
        <v>0.04028</v>
      </c>
      <c r="S1984">
        <f>IMAGE("https://mitra.stanford.edu/kundaje/oak/projects/neuro-variants/variant_position/credible/roussos_2024/variant_figures/roussos_2024.adolescence.Astrocyte/rs72980085_count_position.png",4,220,900)</f>
        <v/>
      </c>
      <c r="T1984">
        <f>IMAGE("https://mitra.stanford.edu/kundaje/oak/projects/neuro-variants/variant_position/credible/roussos_2024/variant_figures/roussos_2024.adolescence.Astrocyte/rs72980085_profile_position.png",4,220,900)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0.0038741447999999</v>
      </c>
      <c r="G1985" t="n">
        <v>0.4610832230005219</v>
      </c>
      <c r="H1985" t="n">
        <v>0.0165963442825739</v>
      </c>
      <c r="I1985" t="n">
        <v>0.241526317592848</v>
      </c>
      <c r="J1985" t="n">
        <v>0.7799661751179421</v>
      </c>
      <c r="K1985" t="n">
        <v>0.009809641600910701</v>
      </c>
      <c r="L1985" t="b">
        <v>0</v>
      </c>
      <c r="M1985" t="b">
        <v>0</v>
      </c>
      <c r="N1985" t="inlineStr">
        <is>
          <t>alt</t>
        </is>
      </c>
      <c r="O1985" t="n">
        <v>-100</v>
      </c>
      <c r="P1985" t="n">
        <v>0.0453</v>
      </c>
      <c r="Q1985" t="n">
        <v>25</v>
      </c>
      <c r="R1985" t="n">
        <v>0.04785</v>
      </c>
      <c r="S1985">
        <f>IMAGE("https://mitra.stanford.edu/kundaje/oak/projects/neuro-variants/variant_position/credible/roussos_2024/variant_figures/roussos_2024.adolescence.Astrocyte/rs56197868_count_position.png",4,220,900)</f>
        <v/>
      </c>
      <c r="T1985">
        <f>IMAGE("https://mitra.stanford.edu/kundaje/oak/projects/neuro-variants/variant_position/credible/roussos_2024/variant_figures/roussos_2024.adolescence.Astrocyte/rs56197868_profile_position.png",4,220,900)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0.1588194784</v>
      </c>
      <c r="G1986" t="n">
        <v>0.0359011680822741</v>
      </c>
      <c r="H1986" t="n">
        <v>0.0143564446127813</v>
      </c>
      <c r="I1986" t="n">
        <v>0.3648028103065222</v>
      </c>
      <c r="J1986" t="n">
        <v>0.5841074978488562</v>
      </c>
      <c r="K1986" t="n">
        <v>0.0369907546315709</v>
      </c>
      <c r="L1986" t="b">
        <v>0</v>
      </c>
      <c r="M1986" t="b">
        <v>0</v>
      </c>
      <c r="N1986" t="inlineStr">
        <is>
          <t>alt</t>
        </is>
      </c>
      <c r="O1986" t="n">
        <v>100</v>
      </c>
      <c r="P1986" t="n">
        <v>0.02528</v>
      </c>
      <c r="Q1986" t="n">
        <v>80</v>
      </c>
      <c r="R1986" t="n">
        <v>0.1553</v>
      </c>
      <c r="S1986">
        <f>IMAGE("https://mitra.stanford.edu/kundaje/oak/projects/neuro-variants/variant_position/credible/roussos_2024/variant_figures/roussos_2024.adolescence.Astrocyte/rs4239346_count_position.png",4,220,900)</f>
        <v/>
      </c>
      <c r="T1986">
        <f>IMAGE("https://mitra.stanford.edu/kundaje/oak/projects/neuro-variants/variant_position/credible/roussos_2024/variant_figures/roussos_2024.adolescence.Astrocyte/rs4239346_profile_position.png",4,220,900)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-0.2072218319999999</v>
      </c>
      <c r="G1987" t="n">
        <v>0.0221862040211666</v>
      </c>
      <c r="H1987" t="n">
        <v>0.0318243500923286</v>
      </c>
      <c r="I1987" t="n">
        <v>0.0276455784402465</v>
      </c>
      <c r="J1987" t="n">
        <v>0.7252618461264576</v>
      </c>
      <c r="K1987" t="n">
        <v>0.0151351547347607</v>
      </c>
      <c r="L1987" t="b">
        <v>0</v>
      </c>
      <c r="M1987" t="b">
        <v>0</v>
      </c>
      <c r="N1987" t="inlineStr">
        <is>
          <t>ref</t>
        </is>
      </c>
      <c r="O1987" t="n">
        <v>15</v>
      </c>
      <c r="P1987" t="n">
        <v>0.003601</v>
      </c>
      <c r="Q1987" t="n">
        <v>0</v>
      </c>
      <c r="R1987" t="n">
        <v>0</v>
      </c>
      <c r="S1987">
        <f>IMAGE("https://mitra.stanford.edu/kundaje/oak/projects/neuro-variants/variant_position/credible/roussos_2024/variant_figures/roussos_2024.adolescence.Astrocyte/rs11662267_count_position.png",4,220,900)</f>
        <v/>
      </c>
      <c r="T1987">
        <f>IMAGE("https://mitra.stanford.edu/kundaje/oak/projects/neuro-variants/variant_position/credible/roussos_2024/variant_figures/roussos_2024.adolescence.Astrocyte/rs11662267_profile_position.png",4,220,900)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-0.0030951196</v>
      </c>
      <c r="G1988" t="n">
        <v>0.5414052577890612</v>
      </c>
      <c r="H1988" t="n">
        <v>0.012294395747077</v>
      </c>
      <c r="I1988" t="n">
        <v>0.5262123748075616</v>
      </c>
      <c r="J1988" t="n">
        <v>0.0060410052517579</v>
      </c>
      <c r="K1988" t="n">
        <v>0.7195602351381836</v>
      </c>
      <c r="L1988" t="b">
        <v>0</v>
      </c>
      <c r="M1988" t="b">
        <v>0</v>
      </c>
      <c r="N1988" t="inlineStr">
        <is>
          <t>ref</t>
        </is>
      </c>
      <c r="O1988" t="n">
        <v>-95</v>
      </c>
      <c r="P1988" t="n">
        <v>0.01952</v>
      </c>
      <c r="Q1988" t="n">
        <v>-90</v>
      </c>
      <c r="R1988" t="n">
        <v>0.03333</v>
      </c>
      <c r="S1988">
        <f>IMAGE("https://mitra.stanford.edu/kundaje/oak/projects/neuro-variants/variant_position/credible/roussos_2024/variant_figures/roussos_2024.adolescence.Astrocyte/rs12953577_count_position.png",4,220,900)</f>
        <v/>
      </c>
      <c r="T1988">
        <f>IMAGE("https://mitra.stanford.edu/kundaje/oak/projects/neuro-variants/variant_position/credible/roussos_2024/variant_figures/roussos_2024.adolescence.Astrocyte/rs12953577_profile_position.png",4,220,900)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0.108571012</v>
      </c>
      <c r="G1989" t="n">
        <v>0.0338455455067995</v>
      </c>
      <c r="H1989" t="n">
        <v>0.0215400063963101</v>
      </c>
      <c r="I1989" t="n">
        <v>0.1067329553877153</v>
      </c>
      <c r="J1989" t="n">
        <v>0.7628905438684984</v>
      </c>
      <c r="K1989" t="n">
        <v>0.0114880101868171</v>
      </c>
      <c r="L1989" t="b">
        <v>0</v>
      </c>
      <c r="M1989" t="b">
        <v>0</v>
      </c>
      <c r="N1989" t="inlineStr">
        <is>
          <t>alt</t>
        </is>
      </c>
      <c r="O1989" t="n">
        <v>-80</v>
      </c>
      <c r="P1989" t="n">
        <v>0.00505</v>
      </c>
      <c r="Q1989" t="n">
        <v>60</v>
      </c>
      <c r="R1989" t="n">
        <v>0.06836</v>
      </c>
      <c r="S1989">
        <f>IMAGE("https://mitra.stanford.edu/kundaje/oak/projects/neuro-variants/variant_position/credible/roussos_2024/variant_figures/roussos_2024.adolescence.Astrocyte/rs56862829_count_position.png",4,220,900)</f>
        <v/>
      </c>
      <c r="T1989">
        <f>IMAGE("https://mitra.stanford.edu/kundaje/oak/projects/neuro-variants/variant_position/credible/roussos_2024/variant_figures/roussos_2024.adolescence.Astrocyte/rs56862829_profile_position.png",4,220,900)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-0.002721159412</v>
      </c>
      <c r="G1990" t="n">
        <v>0.8257353574626869</v>
      </c>
      <c r="H1990" t="n">
        <v>0.0109052271982901</v>
      </c>
      <c r="I1990" t="n">
        <v>0.6639596829249885</v>
      </c>
      <c r="J1990" t="n">
        <v>0.2870248939263566</v>
      </c>
      <c r="K1990" t="n">
        <v>0.1424692950102276</v>
      </c>
      <c r="L1990" t="b">
        <v>0</v>
      </c>
      <c r="M1990" t="b">
        <v>0</v>
      </c>
      <c r="N1990" t="inlineStr">
        <is>
          <t>ref</t>
        </is>
      </c>
      <c r="O1990" t="n">
        <v>-70</v>
      </c>
      <c r="P1990" t="n">
        <v>0.00645</v>
      </c>
      <c r="Q1990" t="n">
        <v>95</v>
      </c>
      <c r="R1990" t="n">
        <v>0.01636</v>
      </c>
      <c r="S1990">
        <f>IMAGE("https://mitra.stanford.edu/kundaje/oak/projects/neuro-variants/variant_position/credible/roussos_2024/variant_figures/roussos_2024.adolescence.Astrocyte/rs72486339_count_position.png",4,220,900)</f>
        <v/>
      </c>
      <c r="T1990">
        <f>IMAGE("https://mitra.stanford.edu/kundaje/oak/projects/neuro-variants/variant_position/credible/roussos_2024/variant_figures/roussos_2024.adolescence.Astrocyte/rs72486339_profile_position.png",4,220,900)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0.00014796148</v>
      </c>
      <c r="G1991" t="n">
        <v>0.8244430072606466</v>
      </c>
      <c r="H1991" t="n">
        <v>0.0222540018832695</v>
      </c>
      <c r="I1991" t="n">
        <v>0.0956563351649983</v>
      </c>
      <c r="J1991" t="n">
        <v>0.0159095629469186</v>
      </c>
      <c r="K1991" t="n">
        <v>0.6127281050682014</v>
      </c>
      <c r="L1991" t="b">
        <v>0</v>
      </c>
      <c r="M1991" t="b">
        <v>0</v>
      </c>
      <c r="N1991" t="inlineStr">
        <is>
          <t>alt</t>
        </is>
      </c>
      <c r="O1991" t="n">
        <v>-45</v>
      </c>
      <c r="P1991" t="n">
        <v>0.006195</v>
      </c>
      <c r="Q1991" t="n">
        <v>-95</v>
      </c>
      <c r="R1991" t="n">
        <v>0.0868</v>
      </c>
      <c r="S1991">
        <f>IMAGE("https://mitra.stanford.edu/kundaje/oak/projects/neuro-variants/variant_position/credible/roussos_2024/variant_figures/roussos_2024.adolescence.Astrocyte/rs117443676_count_position.png",4,220,900)</f>
        <v/>
      </c>
      <c r="T1991">
        <f>IMAGE("https://mitra.stanford.edu/kundaje/oak/projects/neuro-variants/variant_position/credible/roussos_2024/variant_figures/roussos_2024.adolescence.Astrocyte/rs117443676_profile_position.png",4,220,900)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0.0129334128</v>
      </c>
      <c r="G1992" t="n">
        <v>0.6535786523676176</v>
      </c>
      <c r="H1992" t="n">
        <v>0.0124973202487717</v>
      </c>
      <c r="I1992" t="n">
        <v>0.5024889746480842</v>
      </c>
      <c r="J1992" t="n">
        <v>0.2481136694062843</v>
      </c>
      <c r="K1992" t="n">
        <v>0.1676045539231665</v>
      </c>
      <c r="L1992" t="b">
        <v>0</v>
      </c>
      <c r="M1992" t="b">
        <v>0</v>
      </c>
      <c r="N1992" t="inlineStr">
        <is>
          <t>alt</t>
        </is>
      </c>
      <c r="O1992" t="n">
        <v>100</v>
      </c>
      <c r="P1992" t="n">
        <v>0.005005</v>
      </c>
      <c r="Q1992" t="n">
        <v>100</v>
      </c>
      <c r="R1992" t="n">
        <v>0.1046</v>
      </c>
      <c r="S1992">
        <f>IMAGE("https://mitra.stanford.edu/kundaje/oak/projects/neuro-variants/variant_position/credible/roussos_2024/variant_figures/roussos_2024.adolescence.Astrocyte/rs149339216_count_position.png",4,220,900)</f>
        <v/>
      </c>
      <c r="T1992">
        <f>IMAGE("https://mitra.stanford.edu/kundaje/oak/projects/neuro-variants/variant_position/credible/roussos_2024/variant_figures/roussos_2024.adolescence.Astrocyte/rs149339216_profile_position.png",4,220,900)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-0.1472529467999999</v>
      </c>
      <c r="G1993" t="n">
        <v>0.0420296864966855</v>
      </c>
      <c r="H1993" t="n">
        <v>0.019003527110376</v>
      </c>
      <c r="I1993" t="n">
        <v>0.1625643742911261</v>
      </c>
      <c r="J1993" t="n">
        <v>0.1288883778892086</v>
      </c>
      <c r="K1993" t="n">
        <v>0.2876704823444704</v>
      </c>
      <c r="L1993" t="b">
        <v>0</v>
      </c>
      <c r="M1993" t="b">
        <v>0</v>
      </c>
      <c r="N1993" t="inlineStr">
        <is>
          <t>ref</t>
        </is>
      </c>
      <c r="O1993" t="n">
        <v>-95</v>
      </c>
      <c r="P1993" t="n">
        <v>0.01248</v>
      </c>
      <c r="Q1993" t="n">
        <v>45</v>
      </c>
      <c r="R1993" t="n">
        <v>0.1075</v>
      </c>
      <c r="S1993">
        <f>IMAGE("https://mitra.stanford.edu/kundaje/oak/projects/neuro-variants/variant_position/credible/roussos_2024/variant_figures/roussos_2024.adolescence.Astrocyte/rs75138150_count_position.png",4,220,900)</f>
        <v/>
      </c>
      <c r="T1993">
        <f>IMAGE("https://mitra.stanford.edu/kundaje/oak/projects/neuro-variants/variant_position/credible/roussos_2024/variant_figures/roussos_2024.adolescence.Astrocyte/rs75138150_profile_position.png",4,220,900)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0.0557731428999999</v>
      </c>
      <c r="G1994" t="n">
        <v>0.2329279846566782</v>
      </c>
      <c r="H1994" t="n">
        <v>0.0195105777415418</v>
      </c>
      <c r="I1994" t="n">
        <v>0.1487255490802953</v>
      </c>
      <c r="J1994" t="n">
        <v>0.8809037771118298</v>
      </c>
      <c r="K1994" t="n">
        <v>0.0025836836620183</v>
      </c>
      <c r="L1994" t="b">
        <v>0</v>
      </c>
      <c r="M1994" t="b">
        <v>0</v>
      </c>
      <c r="N1994" t="inlineStr">
        <is>
          <t>alt</t>
        </is>
      </c>
      <c r="O1994" t="n">
        <v>-75</v>
      </c>
      <c r="P1994" t="n">
        <v>0.004425</v>
      </c>
      <c r="Q1994" t="n">
        <v>-55</v>
      </c>
      <c r="R1994" t="n">
        <v>0.01196</v>
      </c>
      <c r="S1994">
        <f>IMAGE("https://mitra.stanford.edu/kundaje/oak/projects/neuro-variants/variant_position/credible/roussos_2024/variant_figures/roussos_2024.adolescence.Astrocyte/rs141958336_count_position.png",4,220,900)</f>
        <v/>
      </c>
      <c r="T1994">
        <f>IMAGE("https://mitra.stanford.edu/kundaje/oak/projects/neuro-variants/variant_position/credible/roussos_2024/variant_figures/roussos_2024.adolescence.Astrocyte/rs141958336_profile_position.png",4,220,900)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0.17309689</v>
      </c>
      <c r="G1995" t="n">
        <v>0.0245667175900115</v>
      </c>
      <c r="H1995" t="n">
        <v>0.0390484284921014</v>
      </c>
      <c r="I1995" t="n">
        <v>0.0107925998038309</v>
      </c>
      <c r="J1995" t="n">
        <v>0.3853737056048422</v>
      </c>
      <c r="K1995" t="n">
        <v>0.09353464298801489</v>
      </c>
      <c r="L1995" t="b">
        <v>1</v>
      </c>
      <c r="M1995" t="b">
        <v>0</v>
      </c>
      <c r="N1995" t="inlineStr">
        <is>
          <t>alt</t>
        </is>
      </c>
      <c r="O1995" t="n">
        <v>-100</v>
      </c>
      <c r="P1995" t="n">
        <v>0.006393</v>
      </c>
      <c r="Q1995" t="n">
        <v>-100</v>
      </c>
      <c r="R1995" t="n">
        <v>0.0936</v>
      </c>
      <c r="S1995">
        <f>IMAGE("https://mitra.stanford.edu/kundaje/oak/projects/neuro-variants/variant_position/credible/roussos_2024/variant_figures/roussos_2024.adolescence.Astrocyte/rs111785160_count_position.png",4,220,900)</f>
        <v/>
      </c>
      <c r="T1995">
        <f>IMAGE("https://mitra.stanford.edu/kundaje/oak/projects/neuro-variants/variant_position/credible/roussos_2024/variant_figures/roussos_2024.adolescence.Astrocyte/rs111785160_profile_position.png",4,220,900)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-0.0501966216</v>
      </c>
      <c r="G1996" t="n">
        <v>0.2468859861449767</v>
      </c>
      <c r="H1996" t="n">
        <v>0.0140189003771845</v>
      </c>
      <c r="I1996" t="n">
        <v>0.3805954587974749</v>
      </c>
      <c r="J1996" t="n">
        <v>0.4199930273269441</v>
      </c>
      <c r="K1996" t="n">
        <v>0.0811746566737767</v>
      </c>
      <c r="L1996" t="b">
        <v>0</v>
      </c>
      <c r="M1996" t="b">
        <v>0</v>
      </c>
      <c r="N1996" t="inlineStr">
        <is>
          <t>ref</t>
        </is>
      </c>
      <c r="O1996" t="n">
        <v>75</v>
      </c>
      <c r="P1996" t="n">
        <v>0.0044</v>
      </c>
      <c r="Q1996" t="n">
        <v>-35</v>
      </c>
      <c r="R1996" t="n">
        <v>0.0761</v>
      </c>
      <c r="S1996">
        <f>IMAGE("https://mitra.stanford.edu/kundaje/oak/projects/neuro-variants/variant_position/credible/roussos_2024/variant_figures/roussos_2024.adolescence.Astrocyte/rs77188636_count_position.png",4,220,900)</f>
        <v/>
      </c>
      <c r="T1996">
        <f>IMAGE("https://mitra.stanford.edu/kundaje/oak/projects/neuro-variants/variant_position/credible/roussos_2024/variant_figures/roussos_2024.adolescence.Astrocyte/rs77188636_profile_position.png",4,220,900)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-0.03672442</v>
      </c>
      <c r="G1997" t="n">
        <v>0.3376676382151195</v>
      </c>
      <c r="H1997" t="n">
        <v>0.007901072198343</v>
      </c>
      <c r="I1997" t="n">
        <v>0.9337320630347604</v>
      </c>
      <c r="J1997" t="n">
        <v>0.0419866184019226</v>
      </c>
      <c r="K1997" t="n">
        <v>0.4858182521523868</v>
      </c>
      <c r="L1997" t="b">
        <v>0</v>
      </c>
      <c r="M1997" t="b">
        <v>0</v>
      </c>
      <c r="N1997" t="inlineStr">
        <is>
          <t>ref</t>
        </is>
      </c>
      <c r="O1997" t="n">
        <v>25</v>
      </c>
      <c r="P1997" t="n">
        <v>0.004196</v>
      </c>
      <c r="Q1997" t="n">
        <v>-25</v>
      </c>
      <c r="R1997" t="n">
        <v>0.05054</v>
      </c>
      <c r="S1997">
        <f>IMAGE("https://mitra.stanford.edu/kundaje/oak/projects/neuro-variants/variant_position/credible/roussos_2024/variant_figures/roussos_2024.adolescence.Astrocyte/rs62119705_count_position.png",4,220,900)</f>
        <v/>
      </c>
      <c r="T1997">
        <f>IMAGE("https://mitra.stanford.edu/kundaje/oak/projects/neuro-variants/variant_position/credible/roussos_2024/variant_figures/roussos_2024.adolescence.Astrocyte/rs62119705_profile_position.png",4,220,900)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-0.0005622149199998999</v>
      </c>
      <c r="G1998" t="n">
        <v>0.7928214628211555</v>
      </c>
      <c r="H1998" t="n">
        <v>0.0114804923635587</v>
      </c>
      <c r="I1998" t="n">
        <v>0.60322573608112</v>
      </c>
      <c r="J1998" t="n">
        <v>0.1234934575557071</v>
      </c>
      <c r="K1998" t="n">
        <v>0.293429380695177</v>
      </c>
      <c r="L1998" t="b">
        <v>0</v>
      </c>
      <c r="M1998" t="b">
        <v>0</v>
      </c>
      <c r="N1998" t="inlineStr">
        <is>
          <t>ref</t>
        </is>
      </c>
      <c r="O1998" t="n">
        <v>95</v>
      </c>
      <c r="P1998" t="n">
        <v>0.1515</v>
      </c>
      <c r="Q1998" t="n">
        <v>-100</v>
      </c>
      <c r="R1998" t="n">
        <v>0.2517</v>
      </c>
      <c r="S1998">
        <f>IMAGE("https://mitra.stanford.edu/kundaje/oak/projects/neuro-variants/variant_position/credible/roussos_2024/variant_figures/roussos_2024.adolescence.Astrocyte/rs4807003_count_position.png",4,220,900)</f>
        <v/>
      </c>
      <c r="T1998">
        <f>IMAGE("https://mitra.stanford.edu/kundaje/oak/projects/neuro-variants/variant_position/credible/roussos_2024/variant_figures/roussos_2024.adolescence.Astrocyte/rs4807003_profile_position.png",4,220,900)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0.1313870954</v>
      </c>
      <c r="G1999" t="n">
        <v>0.0648660359010288</v>
      </c>
      <c r="H1999" t="n">
        <v>0.0227510109340621</v>
      </c>
      <c r="I1999" t="n">
        <v>0.0918649722345139</v>
      </c>
      <c r="J1999" t="n">
        <v>0.0747537311218585</v>
      </c>
      <c r="K1999" t="n">
        <v>0.3759540896904316</v>
      </c>
      <c r="L1999" t="b">
        <v>0</v>
      </c>
      <c r="M1999" t="b">
        <v>0</v>
      </c>
      <c r="N1999" t="inlineStr">
        <is>
          <t>alt</t>
        </is>
      </c>
      <c r="O1999" t="n">
        <v>65</v>
      </c>
      <c r="P1999" t="n">
        <v>0.00707</v>
      </c>
      <c r="Q1999" t="n">
        <v>80</v>
      </c>
      <c r="R1999" t="n">
        <v>0.08057</v>
      </c>
      <c r="S1999">
        <f>IMAGE("https://mitra.stanford.edu/kundaje/oak/projects/neuro-variants/variant_position/credible/roussos_2024/variant_figures/roussos_2024.adolescence.Astrocyte/rs35502362_count_position.png",4,220,900)</f>
        <v/>
      </c>
      <c r="T1999">
        <f>IMAGE("https://mitra.stanford.edu/kundaje/oak/projects/neuro-variants/variant_position/credible/roussos_2024/variant_figures/roussos_2024.adolescence.Astrocyte/rs35502362_profile_position.png",4,220,900)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-0.13259879</v>
      </c>
      <c r="G2000" t="n">
        <v>0.0466723410211017</v>
      </c>
      <c r="H2000" t="n">
        <v>0.0186933282922948</v>
      </c>
      <c r="I2000" t="n">
        <v>0.1710660727352721</v>
      </c>
      <c r="J2000" t="n">
        <v>0.2909726137139127</v>
      </c>
      <c r="K2000" t="n">
        <v>0.1505031483101598</v>
      </c>
      <c r="L2000" t="b">
        <v>0</v>
      </c>
      <c r="M2000" t="b">
        <v>0</v>
      </c>
      <c r="N2000" t="inlineStr">
        <is>
          <t>ref</t>
        </is>
      </c>
      <c r="O2000" t="n">
        <v>-100</v>
      </c>
      <c r="P2000" t="n">
        <v>0.005257</v>
      </c>
      <c r="Q2000" t="n">
        <v>95</v>
      </c>
      <c r="R2000" t="n">
        <v>0.2292</v>
      </c>
      <c r="S2000">
        <f>IMAGE("https://mitra.stanford.edu/kundaje/oak/projects/neuro-variants/variant_position/credible/roussos_2024/variant_figures/roussos_2024.adolescence.Astrocyte/rs34009962_count_position.png",4,220,900)</f>
        <v/>
      </c>
      <c r="T2000">
        <f>IMAGE("https://mitra.stanford.edu/kundaje/oak/projects/neuro-variants/variant_position/credible/roussos_2024/variant_figures/roussos_2024.adolescence.Astrocyte/rs34009962_profile_position.png",4,220,900)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0.0583749603999999</v>
      </c>
      <c r="G2001" t="n">
        <v>0.1828889802787877</v>
      </c>
      <c r="H2001" t="n">
        <v>0.0192433372077408</v>
      </c>
      <c r="I2001" t="n">
        <v>0.1569436120847446</v>
      </c>
      <c r="J2001" t="n">
        <v>0.0179976559950152</v>
      </c>
      <c r="K2001" t="n">
        <v>0.6212294973737027</v>
      </c>
      <c r="L2001" t="b">
        <v>0</v>
      </c>
      <c r="M2001" t="b">
        <v>0</v>
      </c>
      <c r="N2001" t="inlineStr">
        <is>
          <t>alt</t>
        </is>
      </c>
      <c r="O2001" t="n">
        <v>-75</v>
      </c>
      <c r="P2001" t="n">
        <v>0.02304</v>
      </c>
      <c r="Q2001" t="n">
        <v>-100</v>
      </c>
      <c r="R2001" t="n">
        <v>0.1239</v>
      </c>
      <c r="S2001">
        <f>IMAGE("https://mitra.stanford.edu/kundaje/oak/projects/neuro-variants/variant_position/credible/roussos_2024/variant_figures/roussos_2024.adolescence.Astrocyte/rs113848170_count_position.png",4,220,900)</f>
        <v/>
      </c>
      <c r="T2001">
        <f>IMAGE("https://mitra.stanford.edu/kundaje/oak/projects/neuro-variants/variant_position/credible/roussos_2024/variant_figures/roussos_2024.adolescence.Astrocyte/rs113848170_profile_position.png",4,220,900)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0.0229776882</v>
      </c>
      <c r="G2002" t="n">
        <v>0.4899407221864966</v>
      </c>
      <c r="H2002" t="n">
        <v>0.0458886965074029</v>
      </c>
      <c r="I2002" t="n">
        <v>0.0054910035915647</v>
      </c>
      <c r="J2002" t="n">
        <v>0.0068198676675666</v>
      </c>
      <c r="K2002" t="n">
        <v>0.7181599735887301</v>
      </c>
      <c r="L2002" t="b">
        <v>0</v>
      </c>
      <c r="M2002" t="b">
        <v>0</v>
      </c>
      <c r="N2002" t="inlineStr">
        <is>
          <t>alt</t>
        </is>
      </c>
      <c r="O2002" t="n">
        <v>80</v>
      </c>
      <c r="P2002" t="n">
        <v>0.02667</v>
      </c>
      <c r="Q2002" t="n">
        <v>-25</v>
      </c>
      <c r="R2002" t="n">
        <v>0.01245</v>
      </c>
      <c r="S2002">
        <f>IMAGE("https://mitra.stanford.edu/kundaje/oak/projects/neuro-variants/variant_position/credible/roussos_2024/variant_figures/roussos_2024.adolescence.Astrocyte/rs34538000_count_position.png",4,220,900)</f>
        <v/>
      </c>
      <c r="T2002">
        <f>IMAGE("https://mitra.stanford.edu/kundaje/oak/projects/neuro-variants/variant_position/credible/roussos_2024/variant_figures/roussos_2024.adolescence.Astrocyte/rs34538000_profile_position.png",4,220,900)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0.261132004</v>
      </c>
      <c r="G2003" t="n">
        <v>0.0091110462983455</v>
      </c>
      <c r="H2003" t="n">
        <v>0.0271270526842394</v>
      </c>
      <c r="I2003" t="n">
        <v>0.0469259035027868</v>
      </c>
      <c r="J2003" t="n">
        <v>0.0671075275198052</v>
      </c>
      <c r="K2003" t="n">
        <v>0.4094977922955014</v>
      </c>
      <c r="L2003" t="b">
        <v>1</v>
      </c>
      <c r="M2003" t="b">
        <v>1</v>
      </c>
      <c r="N2003" t="inlineStr">
        <is>
          <t>alt</t>
        </is>
      </c>
      <c r="O2003" t="n">
        <v>80</v>
      </c>
      <c r="P2003" t="n">
        <v>0.0418</v>
      </c>
      <c r="Q2003" t="n">
        <v>90</v>
      </c>
      <c r="R2003" t="n">
        <v>0.2181</v>
      </c>
      <c r="S2003">
        <f>IMAGE("https://mitra.stanford.edu/kundaje/oak/projects/neuro-variants/variant_position/credible/roussos_2024/variant_figures/roussos_2024.adolescence.Astrocyte/rs2965180_count_position.png",4,220,900)</f>
        <v/>
      </c>
      <c r="T2003">
        <f>IMAGE("https://mitra.stanford.edu/kundaje/oak/projects/neuro-variants/variant_position/credible/roussos_2024/variant_figures/roussos_2024.adolescence.Astrocyte/rs2965180_profile_position.png",4,220,900)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0.0547374165</v>
      </c>
      <c r="G2004" t="n">
        <v>0.2373585727757804</v>
      </c>
      <c r="H2004" t="n">
        <v>0.012681557527858</v>
      </c>
      <c r="I2004" t="n">
        <v>0.4958958078143381</v>
      </c>
      <c r="J2004" t="n">
        <v>0.08501542889357019</v>
      </c>
      <c r="K2004" t="n">
        <v>0.357562413294421</v>
      </c>
      <c r="L2004" t="b">
        <v>0</v>
      </c>
      <c r="M2004" t="b">
        <v>0</v>
      </c>
      <c r="N2004" t="inlineStr">
        <is>
          <t>alt</t>
        </is>
      </c>
      <c r="O2004" t="n">
        <v>100</v>
      </c>
      <c r="P2004" t="n">
        <v>0.008574999999999999</v>
      </c>
      <c r="Q2004" t="n">
        <v>-100</v>
      </c>
      <c r="R2004" t="n">
        <v>0.06444999999999999</v>
      </c>
      <c r="S2004">
        <f>IMAGE("https://mitra.stanford.edu/kundaje/oak/projects/neuro-variants/variant_position/credible/roussos_2024/variant_figures/roussos_2024.adolescence.Astrocyte/rs2916073_count_position.png",4,220,900)</f>
        <v/>
      </c>
      <c r="T2004">
        <f>IMAGE("https://mitra.stanford.edu/kundaje/oak/projects/neuro-variants/variant_position/credible/roussos_2024/variant_figures/roussos_2024.adolescence.Astrocyte/rs2916073_profile_position.png",4,220,900)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0.0657453164</v>
      </c>
      <c r="G2005" t="n">
        <v>0.1840693846609982</v>
      </c>
      <c r="H2005" t="n">
        <v>0.012057536621631</v>
      </c>
      <c r="I2005" t="n">
        <v>0.5221522196222834</v>
      </c>
      <c r="J2005" t="n">
        <v>0.1220054594546479</v>
      </c>
      <c r="K2005" t="n">
        <v>0.2934449696950993</v>
      </c>
      <c r="L2005" t="b">
        <v>0</v>
      </c>
      <c r="M2005" t="b">
        <v>0</v>
      </c>
      <c r="N2005" t="inlineStr">
        <is>
          <t>alt</t>
        </is>
      </c>
      <c r="O2005" t="n">
        <v>-100</v>
      </c>
      <c r="P2005" t="n">
        <v>0.006416</v>
      </c>
      <c r="Q2005" t="n">
        <v>-90</v>
      </c>
      <c r="R2005" t="n">
        <v>0.07434</v>
      </c>
      <c r="S2005">
        <f>IMAGE("https://mitra.stanford.edu/kundaje/oak/projects/neuro-variants/variant_position/credible/roussos_2024/variant_figures/roussos_2024.adolescence.Astrocyte/rs1469713_count_position.png",4,220,900)</f>
        <v/>
      </c>
      <c r="T2005">
        <f>IMAGE("https://mitra.stanford.edu/kundaje/oak/projects/neuro-variants/variant_position/credible/roussos_2024/variant_figures/roussos_2024.adolescence.Astrocyte/rs1469713_profile_position.png",4,220,900)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0.00025466556</v>
      </c>
      <c r="G2006" t="n">
        <v>0.6397086214722827</v>
      </c>
      <c r="H2006" t="n">
        <v>0.0109982766392772</v>
      </c>
      <c r="I2006" t="n">
        <v>0.6573091598201878</v>
      </c>
      <c r="J2006" t="n">
        <v>0.0446525531851763</v>
      </c>
      <c r="K2006" t="n">
        <v>0.4523238979771343</v>
      </c>
      <c r="L2006" t="b">
        <v>0</v>
      </c>
      <c r="M2006" t="b">
        <v>0</v>
      </c>
      <c r="N2006" t="inlineStr">
        <is>
          <t>alt</t>
        </is>
      </c>
      <c r="O2006" t="n">
        <v>35</v>
      </c>
      <c r="P2006" t="n">
        <v>0.003788</v>
      </c>
      <c r="Q2006" t="n">
        <v>-85</v>
      </c>
      <c r="R2006" t="n">
        <v>0.1687</v>
      </c>
      <c r="S2006">
        <f>IMAGE("https://mitra.stanford.edu/kundaje/oak/projects/neuro-variants/variant_position/credible/roussos_2024/variant_figures/roussos_2024.adolescence.Astrocyte/rs10405625_count_position.png",4,220,900)</f>
        <v/>
      </c>
      <c r="T2006">
        <f>IMAGE("https://mitra.stanford.edu/kundaje/oak/projects/neuro-variants/variant_position/credible/roussos_2024/variant_figures/roussos_2024.adolescence.Astrocyte/rs10405625_profile_position.png",4,220,900)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0.0734074398</v>
      </c>
      <c r="G2007" t="n">
        <v>0.1532918932163456</v>
      </c>
      <c r="H2007" t="n">
        <v>0.0164021221032575</v>
      </c>
      <c r="I2007" t="n">
        <v>0.258938847868051</v>
      </c>
      <c r="J2007" t="n">
        <v>0.2798601014746461</v>
      </c>
      <c r="K2007" t="n">
        <v>0.146057799587227</v>
      </c>
      <c r="L2007" t="b">
        <v>0</v>
      </c>
      <c r="M2007" t="b">
        <v>0</v>
      </c>
      <c r="N2007" t="inlineStr">
        <is>
          <t>alt</t>
        </is>
      </c>
      <c r="O2007" t="n">
        <v>-55</v>
      </c>
      <c r="P2007" t="n">
        <v>0.009820000000000001</v>
      </c>
      <c r="Q2007" t="n">
        <v>65</v>
      </c>
      <c r="R2007" t="n">
        <v>0.1577</v>
      </c>
      <c r="S2007">
        <f>IMAGE("https://mitra.stanford.edu/kundaje/oak/projects/neuro-variants/variant_position/credible/roussos_2024/variant_figures/roussos_2024.adolescence.Astrocyte/rs3752151_count_position.png",4,220,900)</f>
        <v/>
      </c>
      <c r="T2007">
        <f>IMAGE("https://mitra.stanford.edu/kundaje/oak/projects/neuro-variants/variant_position/credible/roussos_2024/variant_figures/roussos_2024.adolescence.Astrocyte/rs3752151_profile_position.png",4,220,900)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0.144592677</v>
      </c>
      <c r="G2008" t="n">
        <v>0.0437837847284398</v>
      </c>
      <c r="H2008" t="n">
        <v>0.0163532610925156</v>
      </c>
      <c r="I2008" t="n">
        <v>0.2527720849852589</v>
      </c>
      <c r="J2008" t="n">
        <v>0.0931667804053051</v>
      </c>
      <c r="K2008" t="n">
        <v>0.3419773341018461</v>
      </c>
      <c r="L2008" t="b">
        <v>0</v>
      </c>
      <c r="M2008" t="b">
        <v>0</v>
      </c>
      <c r="N2008" t="inlineStr">
        <is>
          <t>alt</t>
        </is>
      </c>
      <c r="O2008" t="n">
        <v>40</v>
      </c>
      <c r="P2008" t="n">
        <v>0.00682</v>
      </c>
      <c r="Q2008" t="n">
        <v>55</v>
      </c>
      <c r="R2008" t="n">
        <v>0.1375</v>
      </c>
      <c r="S2008">
        <f>IMAGE("https://mitra.stanford.edu/kundaje/oak/projects/neuro-variants/variant_position/credible/roussos_2024/variant_figures/roussos_2024.adolescence.Astrocyte/rs10282_count_position.png",4,220,900)</f>
        <v/>
      </c>
      <c r="T2008">
        <f>IMAGE("https://mitra.stanford.edu/kundaje/oak/projects/neuro-variants/variant_position/credible/roussos_2024/variant_figures/roussos_2024.adolescence.Astrocyte/rs10282_profile_position.png",4,220,900)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-0.0150959916</v>
      </c>
      <c r="G2009" t="n">
        <v>0.6450716686920321</v>
      </c>
      <c r="H2009" t="n">
        <v>0.0343509663858653</v>
      </c>
      <c r="I2009" t="n">
        <v>0.0180163800418147</v>
      </c>
      <c r="J2009" t="n">
        <v>0.0179768863305936</v>
      </c>
      <c r="K2009" t="n">
        <v>0.5841348709533719</v>
      </c>
      <c r="L2009" t="b">
        <v>1</v>
      </c>
      <c r="M2009" t="b">
        <v>0</v>
      </c>
      <c r="N2009" t="inlineStr">
        <is>
          <t>ref</t>
        </is>
      </c>
      <c r="O2009" t="n">
        <v>100</v>
      </c>
      <c r="P2009" t="n">
        <v>0.0019</v>
      </c>
      <c r="Q2009" t="n">
        <v>60</v>
      </c>
      <c r="R2009" t="n">
        <v>0.1432</v>
      </c>
      <c r="S2009">
        <f>IMAGE("https://mitra.stanford.edu/kundaje/oak/projects/neuro-variants/variant_position/credible/roussos_2024/variant_figures/roussos_2024.adolescence.Astrocyte/rs7253807_count_position.png",4,220,900)</f>
        <v/>
      </c>
      <c r="T2009">
        <f>IMAGE("https://mitra.stanford.edu/kundaje/oak/projects/neuro-variants/variant_position/credible/roussos_2024/variant_figures/roussos_2024.adolescence.Astrocyte/rs7253807_profile_position.png",4,220,900)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0.0572889462</v>
      </c>
      <c r="G2010" t="n">
        <v>0.1361674770862035</v>
      </c>
      <c r="H2010" t="n">
        <v>0.0157863683876334</v>
      </c>
      <c r="I2010" t="n">
        <v>0.280752814415079</v>
      </c>
      <c r="J2010" t="n">
        <v>0.714201258048245</v>
      </c>
      <c r="K2010" t="n">
        <v>0.0166742008658651</v>
      </c>
      <c r="L2010" t="b">
        <v>0</v>
      </c>
      <c r="M2010" t="b">
        <v>0</v>
      </c>
      <c r="N2010" t="inlineStr">
        <is>
          <t>alt</t>
        </is>
      </c>
      <c r="O2010" t="n">
        <v>-55</v>
      </c>
      <c r="P2010" t="n">
        <v>0.00511</v>
      </c>
      <c r="Q2010" t="n">
        <v>85</v>
      </c>
      <c r="R2010" t="n">
        <v>0.0581</v>
      </c>
      <c r="S2010">
        <f>IMAGE("https://mitra.stanford.edu/kundaje/oak/projects/neuro-variants/variant_position/credible/roussos_2024/variant_figures/roussos_2024.adolescence.Astrocyte/rs7245983_count_position.png",4,220,900)</f>
        <v/>
      </c>
      <c r="T2010">
        <f>IMAGE("https://mitra.stanford.edu/kundaje/oak/projects/neuro-variants/variant_position/credible/roussos_2024/variant_figures/roussos_2024.adolescence.Astrocyte/rs7245983_profile_position.png",4,220,900)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-0.4223019</v>
      </c>
      <c r="G2011" t="n">
        <v>0.0023613281303247</v>
      </c>
      <c r="H2011" t="n">
        <v>0.0514880289245741</v>
      </c>
      <c r="I2011" t="n">
        <v>0.0035350988556335</v>
      </c>
      <c r="J2011" t="n">
        <v>0.2033891641693617</v>
      </c>
      <c r="K2011" t="n">
        <v>0.2028086798304978</v>
      </c>
      <c r="L2011" t="b">
        <v>1</v>
      </c>
      <c r="M2011" t="b">
        <v>1</v>
      </c>
      <c r="N2011" t="inlineStr">
        <is>
          <t>ref</t>
        </is>
      </c>
      <c r="O2011" t="n">
        <v>-80</v>
      </c>
      <c r="P2011" t="n">
        <v>0.008529999999999999</v>
      </c>
      <c r="Q2011" t="n">
        <v>-75</v>
      </c>
      <c r="R2011" t="n">
        <v>0.0779</v>
      </c>
      <c r="S2011">
        <f>IMAGE("https://mitra.stanford.edu/kundaje/oak/projects/neuro-variants/variant_position/credible/roussos_2024/variant_figures/roussos_2024.adolescence.Astrocyte/rs2053079_count_position.png",4,220,900)</f>
        <v/>
      </c>
      <c r="T2011">
        <f>IMAGE("https://mitra.stanford.edu/kundaje/oak/projects/neuro-variants/variant_position/credible/roussos_2024/variant_figures/roussos_2024.adolescence.Astrocyte/rs2053079_profile_position.png",4,220,900)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0.0523826839</v>
      </c>
      <c r="G2012" t="n">
        <v>0.2201337573893437</v>
      </c>
      <c r="H2012" t="n">
        <v>0.0121779844544155</v>
      </c>
      <c r="I2012" t="n">
        <v>0.5399967457688524</v>
      </c>
      <c r="J2012" t="n">
        <v>0.0280946799988131</v>
      </c>
      <c r="K2012" t="n">
        <v>0.5305894516052476</v>
      </c>
      <c r="L2012" t="b">
        <v>0</v>
      </c>
      <c r="M2012" t="b">
        <v>0</v>
      </c>
      <c r="N2012" t="inlineStr">
        <is>
          <t>alt</t>
        </is>
      </c>
      <c r="O2012" t="n">
        <v>100</v>
      </c>
      <c r="P2012" t="n">
        <v>0.008835000000000001</v>
      </c>
      <c r="Q2012" t="n">
        <v>100</v>
      </c>
      <c r="R2012" t="n">
        <v>0.1663</v>
      </c>
      <c r="S2012">
        <f>IMAGE("https://mitra.stanford.edu/kundaje/oak/projects/neuro-variants/variant_position/credible/roussos_2024/variant_figures/roussos_2024.adolescence.Astrocyte/rs2075419_count_position.png",4,220,900)</f>
        <v/>
      </c>
      <c r="T2012">
        <f>IMAGE("https://mitra.stanford.edu/kundaje/oak/projects/neuro-variants/variant_position/credible/roussos_2024/variant_figures/roussos_2024.adolescence.Astrocyte/rs2075419_profile_position.png",4,220,900)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0.011367190866</v>
      </c>
      <c r="G2013" t="n">
        <v>0.7219673035483123</v>
      </c>
      <c r="H2013" t="n">
        <v>0.030063430828905</v>
      </c>
      <c r="I2013" t="n">
        <v>0.0312274553979567</v>
      </c>
      <c r="J2013" t="n">
        <v>0.0306693766133578</v>
      </c>
      <c r="K2013" t="n">
        <v>0.5139936361079945</v>
      </c>
      <c r="L2013" t="b">
        <v>0</v>
      </c>
      <c r="M2013" t="b">
        <v>0</v>
      </c>
      <c r="N2013" t="inlineStr">
        <is>
          <t>alt</t>
        </is>
      </c>
      <c r="O2013" t="n">
        <v>85</v>
      </c>
      <c r="P2013" t="n">
        <v>0.0179</v>
      </c>
      <c r="Q2013" t="n">
        <v>-85</v>
      </c>
      <c r="R2013" t="n">
        <v>0.0689</v>
      </c>
      <c r="S2013">
        <f>IMAGE("https://mitra.stanford.edu/kundaje/oak/projects/neuro-variants/variant_position/credible/roussos_2024/variant_figures/roussos_2024.adolescence.Astrocyte/rs10411290_count_position.png",4,220,900)</f>
        <v/>
      </c>
      <c r="T2013">
        <f>IMAGE("https://mitra.stanford.edu/kundaje/oak/projects/neuro-variants/variant_position/credible/roussos_2024/variant_figures/roussos_2024.adolescence.Astrocyte/rs10411290_profile_position.png",4,220,900)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0.0050277253</v>
      </c>
      <c r="G2014" t="n">
        <v>0.6601054283420448</v>
      </c>
      <c r="H2014" t="n">
        <v>0.0252264131669642</v>
      </c>
      <c r="I2014" t="n">
        <v>0.0611850245210754</v>
      </c>
      <c r="J2014" t="n">
        <v>0.080420140640299</v>
      </c>
      <c r="K2014" t="n">
        <v>0.3629190202883513</v>
      </c>
      <c r="L2014" t="b">
        <v>0</v>
      </c>
      <c r="M2014" t="b">
        <v>0</v>
      </c>
      <c r="N2014" t="inlineStr">
        <is>
          <t>alt</t>
        </is>
      </c>
      <c r="O2014" t="n">
        <v>-100</v>
      </c>
      <c r="P2014" t="n">
        <v>0.011665</v>
      </c>
      <c r="Q2014" t="n">
        <v>-5</v>
      </c>
      <c r="R2014" t="n">
        <v>0.003662</v>
      </c>
      <c r="S2014">
        <f>IMAGE("https://mitra.stanford.edu/kundaje/oak/projects/neuro-variants/variant_position/credible/roussos_2024/variant_figures/roussos_2024.adolescence.Astrocyte/rs3786795_count_position.png",4,220,900)</f>
        <v/>
      </c>
      <c r="T2014">
        <f>IMAGE("https://mitra.stanford.edu/kundaje/oak/projects/neuro-variants/variant_position/credible/roussos_2024/variant_figures/roussos_2024.adolescence.Astrocyte/rs3786795_profile_position.png",4,220,900)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-0.375739616</v>
      </c>
      <c r="G2015" t="n">
        <v>0.0033168908682286</v>
      </c>
      <c r="H2015" t="n">
        <v>0.0445961243104811</v>
      </c>
      <c r="I2015" t="n">
        <v>0.0063573417667015</v>
      </c>
      <c r="J2015" t="n">
        <v>0.2744488621190991</v>
      </c>
      <c r="K2015" t="n">
        <v>0.1487330628710524</v>
      </c>
      <c r="L2015" t="b">
        <v>1</v>
      </c>
      <c r="M2015" t="b">
        <v>1</v>
      </c>
      <c r="N2015" t="inlineStr">
        <is>
          <t>ref</t>
        </is>
      </c>
      <c r="O2015" t="n">
        <v>80</v>
      </c>
      <c r="P2015" t="n">
        <v>0.010826</v>
      </c>
      <c r="Q2015" t="n">
        <v>-95</v>
      </c>
      <c r="R2015" t="n">
        <v>0.1228</v>
      </c>
      <c r="S2015">
        <f>IMAGE("https://mitra.stanford.edu/kundaje/oak/projects/neuro-variants/variant_position/credible/roussos_2024/variant_figures/roussos_2024.adolescence.Astrocyte/rs4303654_count_position.png",4,220,900)</f>
        <v/>
      </c>
      <c r="T2015">
        <f>IMAGE("https://mitra.stanford.edu/kundaje/oak/projects/neuro-variants/variant_position/credible/roussos_2024/variant_figures/roussos_2024.adolescence.Astrocyte/rs4303654_profile_position.png",4,220,900)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0.0001570501199999</v>
      </c>
      <c r="G2016" t="n">
        <v>0.3876993150099598</v>
      </c>
      <c r="H2016" t="n">
        <v>0.0130894349019224</v>
      </c>
      <c r="I2016" t="n">
        <v>0.453737013976263</v>
      </c>
      <c r="J2016" t="n">
        <v>0.6917269975966531</v>
      </c>
      <c r="K2016" t="n">
        <v>0.0196229306811694</v>
      </c>
      <c r="L2016" t="b">
        <v>0</v>
      </c>
      <c r="M2016" t="b">
        <v>0</v>
      </c>
      <c r="N2016" t="inlineStr">
        <is>
          <t>alt</t>
        </is>
      </c>
      <c r="O2016" t="n">
        <v>-90</v>
      </c>
      <c r="P2016" t="n">
        <v>0.004925</v>
      </c>
      <c r="Q2016" t="n">
        <v>100</v>
      </c>
      <c r="R2016" t="n">
        <v>0.1418</v>
      </c>
      <c r="S2016">
        <f>IMAGE("https://mitra.stanford.edu/kundaje/oak/projects/neuro-variants/variant_position/credible/roussos_2024/variant_figures/roussos_2024.adolescence.Astrocyte/rs142436687_count_position.png",4,220,900)</f>
        <v/>
      </c>
      <c r="T2016">
        <f>IMAGE("https://mitra.stanford.edu/kundaje/oak/projects/neuro-variants/variant_position/credible/roussos_2024/variant_figures/roussos_2024.adolescence.Astrocyte/rs142436687_profile_position.png",4,220,900)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-0.2211999</v>
      </c>
      <c r="G2017" t="n">
        <v>0.0175329946516704</v>
      </c>
      <c r="H2017" t="n">
        <v>0.0345182454903855</v>
      </c>
      <c r="I2017" t="n">
        <v>0.0206248846925299</v>
      </c>
      <c r="J2017" t="n">
        <v>0.1434145328309052</v>
      </c>
      <c r="K2017" t="n">
        <v>0.2618522400043643</v>
      </c>
      <c r="L2017" t="b">
        <v>1</v>
      </c>
      <c r="M2017" t="b">
        <v>0</v>
      </c>
      <c r="N2017" t="inlineStr">
        <is>
          <t>ref</t>
        </is>
      </c>
      <c r="O2017" t="n">
        <v>-40</v>
      </c>
      <c r="P2017" t="n">
        <v>0.002058</v>
      </c>
      <c r="Q2017" t="n">
        <v>-5</v>
      </c>
      <c r="R2017" t="n">
        <v>0.01459</v>
      </c>
      <c r="S2017">
        <f>IMAGE("https://mitra.stanford.edu/kundaje/oak/projects/neuro-variants/variant_position/credible/roussos_2024/variant_figures/roussos_2024.adolescence.Astrocyte/rs79051716_count_position.png",4,220,900)</f>
        <v/>
      </c>
      <c r="T2017">
        <f>IMAGE("https://mitra.stanford.edu/kundaje/oak/projects/neuro-variants/variant_position/credible/roussos_2024/variant_figures/roussos_2024.adolescence.Astrocyte/rs79051716_profile_position.png",4,220,900)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-0.09615758599999991</v>
      </c>
      <c r="G2018" t="n">
        <v>0.0948214721349962</v>
      </c>
      <c r="H2018" t="n">
        <v>0.0367180788844799</v>
      </c>
      <c r="I2018" t="n">
        <v>0.0141000009141448</v>
      </c>
      <c r="J2018" t="n">
        <v>0.3628245260065869</v>
      </c>
      <c r="K2018" t="n">
        <v>0.1024502781604084</v>
      </c>
      <c r="L2018" t="b">
        <v>1</v>
      </c>
      <c r="M2018" t="b">
        <v>0</v>
      </c>
      <c r="N2018" t="inlineStr">
        <is>
          <t>ref</t>
        </is>
      </c>
      <c r="O2018" t="n">
        <v>-35</v>
      </c>
      <c r="P2018" t="n">
        <v>0.006424</v>
      </c>
      <c r="Q2018" t="n">
        <v>95</v>
      </c>
      <c r="R2018" t="n">
        <v>0.09710000000000001</v>
      </c>
      <c r="S2018">
        <f>IMAGE("https://mitra.stanford.edu/kundaje/oak/projects/neuro-variants/variant_position/credible/roussos_2024/variant_figures/roussos_2024.adolescence.Astrocyte/rs116925323_count_position.png",4,220,900)</f>
        <v/>
      </c>
      <c r="T2018">
        <f>IMAGE("https://mitra.stanford.edu/kundaje/oak/projects/neuro-variants/variant_position/credible/roussos_2024/variant_figures/roussos_2024.adolescence.Astrocyte/rs116925323_profile_position.png",4,220,900)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-0.0279812706</v>
      </c>
      <c r="G2019" t="n">
        <v>0.4366315072523414</v>
      </c>
      <c r="H2019" t="n">
        <v>0.0421525780144157</v>
      </c>
      <c r="I2019" t="n">
        <v>0.0077968669675576</v>
      </c>
      <c r="J2019" t="n">
        <v>0.1287978814942289</v>
      </c>
      <c r="K2019" t="n">
        <v>0.2823630790475749</v>
      </c>
      <c r="L2019" t="b">
        <v>1</v>
      </c>
      <c r="M2019" t="b">
        <v>1</v>
      </c>
      <c r="N2019" t="inlineStr">
        <is>
          <t>ref</t>
        </is>
      </c>
      <c r="O2019" t="n">
        <v>75</v>
      </c>
      <c r="P2019" t="n">
        <v>0.005493</v>
      </c>
      <c r="Q2019" t="n">
        <v>-60</v>
      </c>
      <c r="R2019" t="n">
        <v>0.1219</v>
      </c>
      <c r="S2019">
        <f>IMAGE("https://mitra.stanford.edu/kundaje/oak/projects/neuro-variants/variant_position/credible/roussos_2024/variant_figures/roussos_2024.adolescence.Astrocyte/rs1345756_count_position.png",4,220,900)</f>
        <v/>
      </c>
      <c r="T2019">
        <f>IMAGE("https://mitra.stanford.edu/kundaje/oak/projects/neuro-variants/variant_position/credible/roussos_2024/variant_figures/roussos_2024.adolescence.Astrocyte/rs1345756_profile_position.png",4,220,900)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-0.1171638919999999</v>
      </c>
      <c r="G2020" t="n">
        <v>0.0624074100843138</v>
      </c>
      <c r="H2020" t="n">
        <v>0.0135816665094984</v>
      </c>
      <c r="I2020" t="n">
        <v>0.4260026796227912</v>
      </c>
      <c r="J2020" t="n">
        <v>0.0284722428270479</v>
      </c>
      <c r="K2020" t="n">
        <v>0.5242908631634801</v>
      </c>
      <c r="L2020" t="b">
        <v>0</v>
      </c>
      <c r="M2020" t="b">
        <v>0</v>
      </c>
      <c r="N2020" t="inlineStr">
        <is>
          <t>ref</t>
        </is>
      </c>
      <c r="O2020" t="n">
        <v>100</v>
      </c>
      <c r="P2020" t="n">
        <v>0.007362</v>
      </c>
      <c r="Q2020" t="n">
        <v>-70</v>
      </c>
      <c r="R2020" t="n">
        <v>0.03815</v>
      </c>
      <c r="S2020">
        <f>IMAGE("https://mitra.stanford.edu/kundaje/oak/projects/neuro-variants/variant_position/credible/roussos_2024/variant_figures/roussos_2024.adolescence.Astrocyte/rs77157349_count_position.png",4,220,900)</f>
        <v/>
      </c>
      <c r="T2020">
        <f>IMAGE("https://mitra.stanford.edu/kundaje/oak/projects/neuro-variants/variant_position/credible/roussos_2024/variant_figures/roussos_2024.adolescence.Astrocyte/rs77157349_profile_position.png",4,220,900)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0.0199544074</v>
      </c>
      <c r="G2021" t="n">
        <v>0.5355287055413541</v>
      </c>
      <c r="H2021" t="n">
        <v>0.049449838970246</v>
      </c>
      <c r="I2021" t="n">
        <v>0.0040156108739742</v>
      </c>
      <c r="J2021" t="n">
        <v>0.0142524404355694</v>
      </c>
      <c r="K2021" t="n">
        <v>0.6217405298508073</v>
      </c>
      <c r="L2021" t="b">
        <v>1</v>
      </c>
      <c r="M2021" t="b">
        <v>0</v>
      </c>
      <c r="N2021" t="inlineStr">
        <is>
          <t>alt</t>
        </is>
      </c>
      <c r="O2021" t="n">
        <v>-5</v>
      </c>
      <c r="P2021" t="n">
        <v>0.001678</v>
      </c>
      <c r="Q2021" t="n">
        <v>100</v>
      </c>
      <c r="R2021" t="n">
        <v>0.09810000000000001</v>
      </c>
      <c r="S2021">
        <f>IMAGE("https://mitra.stanford.edu/kundaje/oak/projects/neuro-variants/variant_position/credible/roussos_2024/variant_figures/roussos_2024.adolescence.Astrocyte/rs190662727_count_position.png",4,220,900)</f>
        <v/>
      </c>
      <c r="T2021">
        <f>IMAGE("https://mitra.stanford.edu/kundaje/oak/projects/neuro-variants/variant_position/credible/roussos_2024/variant_figures/roussos_2024.adolescence.Astrocyte/rs190662727_profile_position.png",4,220,900)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-0.08852561420000001</v>
      </c>
      <c r="G2022" t="n">
        <v>0.09694419243759959</v>
      </c>
      <c r="H2022" t="n">
        <v>0.0131653533859007</v>
      </c>
      <c r="I2022" t="n">
        <v>0.4530869456726793</v>
      </c>
      <c r="J2022" t="n">
        <v>0.1706635907782689</v>
      </c>
      <c r="K2022" t="n">
        <v>0.2323092536754758</v>
      </c>
      <c r="L2022" t="b">
        <v>0</v>
      </c>
      <c r="M2022" t="b">
        <v>0</v>
      </c>
      <c r="N2022" t="inlineStr">
        <is>
          <t>ref</t>
        </is>
      </c>
      <c r="O2022" t="n">
        <v>-100</v>
      </c>
      <c r="P2022" t="n">
        <v>0.012726</v>
      </c>
      <c r="Q2022" t="n">
        <v>15</v>
      </c>
      <c r="R2022" t="n">
        <v>0.01758</v>
      </c>
      <c r="S2022">
        <f>IMAGE("https://mitra.stanford.edu/kundaje/oak/projects/neuro-variants/variant_position/credible/roussos_2024/variant_figures/roussos_2024.adolescence.Astrocyte/rs35208092_count_position.png",4,220,900)</f>
        <v/>
      </c>
      <c r="T2022">
        <f>IMAGE("https://mitra.stanford.edu/kundaje/oak/projects/neuro-variants/variant_position/credible/roussos_2024/variant_figures/roussos_2024.adolescence.Astrocyte/rs35208092_profile_position.png",4,220,900)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-0.008777143879999999</v>
      </c>
      <c r="G2023" t="n">
        <v>0.780771884296977</v>
      </c>
      <c r="H2023" t="n">
        <v>0.0223726595520227</v>
      </c>
      <c r="I2023" t="n">
        <v>0.0937401220370179</v>
      </c>
      <c r="J2023" t="n">
        <v>0.1213883037118356</v>
      </c>
      <c r="K2023" t="n">
        <v>0.2947541277784339</v>
      </c>
      <c r="L2023" t="b">
        <v>0</v>
      </c>
      <c r="M2023" t="b">
        <v>0</v>
      </c>
      <c r="N2023" t="inlineStr">
        <is>
          <t>ref</t>
        </is>
      </c>
      <c r="O2023" t="n">
        <v>-100</v>
      </c>
      <c r="P2023" t="n">
        <v>0.00482</v>
      </c>
      <c r="Q2023" t="n">
        <v>100</v>
      </c>
      <c r="R2023" t="n">
        <v>0.1306</v>
      </c>
      <c r="S2023">
        <f>IMAGE("https://mitra.stanford.edu/kundaje/oak/projects/neuro-variants/variant_position/credible/roussos_2024/variant_figures/roussos_2024.adolescence.Astrocyte/rs7254613_count_position.png",4,220,900)</f>
        <v/>
      </c>
      <c r="T2023">
        <f>IMAGE("https://mitra.stanford.edu/kundaje/oak/projects/neuro-variants/variant_position/credible/roussos_2024/variant_figures/roussos_2024.adolescence.Astrocyte/rs7254613_profile_position.png",4,220,900)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-0.01780300886</v>
      </c>
      <c r="G2024" t="n">
        <v>0.5069198629262055</v>
      </c>
      <c r="H2024" t="n">
        <v>0.012116954849028</v>
      </c>
      <c r="I2024" t="n">
        <v>0.5375981005825061</v>
      </c>
      <c r="J2024" t="n">
        <v>0.3097572916357594</v>
      </c>
      <c r="K2024" t="n">
        <v>0.1294299482692218</v>
      </c>
      <c r="L2024" t="b">
        <v>0</v>
      </c>
      <c r="M2024" t="b">
        <v>0</v>
      </c>
      <c r="N2024" t="inlineStr">
        <is>
          <t>ref</t>
        </is>
      </c>
      <c r="O2024" t="n">
        <v>-50</v>
      </c>
      <c r="P2024" t="n">
        <v>0.002762</v>
      </c>
      <c r="Q2024" t="n">
        <v>-55</v>
      </c>
      <c r="R2024" t="n">
        <v>0.06660000000000001</v>
      </c>
      <c r="S2024">
        <f>IMAGE("https://mitra.stanford.edu/kundaje/oak/projects/neuro-variants/variant_position/credible/roussos_2024/variant_figures/roussos_2024.adolescence.Astrocyte/rs148767361_count_position.png",4,220,900)</f>
        <v/>
      </c>
      <c r="T2024">
        <f>IMAGE("https://mitra.stanford.edu/kundaje/oak/projects/neuro-variants/variant_position/credible/roussos_2024/variant_figures/roussos_2024.adolescence.Astrocyte/rs148767361_profile_position.png",4,220,900)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0.0432731128</v>
      </c>
      <c r="G2025" t="n">
        <v>0.2721218972640903</v>
      </c>
      <c r="H2025" t="n">
        <v>0.014799373972173</v>
      </c>
      <c r="I2025" t="n">
        <v>0.3358174865443</v>
      </c>
      <c r="J2025" t="n">
        <v>0.6551938996528499</v>
      </c>
      <c r="K2025" t="n">
        <v>0.0240492402051382</v>
      </c>
      <c r="L2025" t="b">
        <v>0</v>
      </c>
      <c r="M2025" t="b">
        <v>0</v>
      </c>
      <c r="N2025" t="inlineStr">
        <is>
          <t>alt</t>
        </is>
      </c>
      <c r="O2025" t="n">
        <v>-95</v>
      </c>
      <c r="P2025" t="n">
        <v>0.003521</v>
      </c>
      <c r="Q2025" t="n">
        <v>-95</v>
      </c>
      <c r="R2025" t="n">
        <v>0.1007</v>
      </c>
      <c r="S2025">
        <f>IMAGE("https://mitra.stanford.edu/kundaje/oak/projects/neuro-variants/variant_position/credible/roussos_2024/variant_figures/roussos_2024.adolescence.Astrocyte/rs6510386_count_position.png",4,220,900)</f>
        <v/>
      </c>
      <c r="T2025">
        <f>IMAGE("https://mitra.stanford.edu/kundaje/oak/projects/neuro-variants/variant_position/credible/roussos_2024/variant_figures/roussos_2024.adolescence.Astrocyte/rs6510386_profile_position.png",4,220,900)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-0.01054945944</v>
      </c>
      <c r="G2026" t="n">
        <v>0.6075258277109233</v>
      </c>
      <c r="H2026" t="n">
        <v>0.0155921051850369</v>
      </c>
      <c r="I2026" t="n">
        <v>0.2905633276295118</v>
      </c>
      <c r="J2026" t="n">
        <v>0.2168508738094531</v>
      </c>
      <c r="K2026" t="n">
        <v>0.1923491263447968</v>
      </c>
      <c r="L2026" t="b">
        <v>0</v>
      </c>
      <c r="M2026" t="b">
        <v>0</v>
      </c>
      <c r="N2026" t="inlineStr">
        <is>
          <t>ref</t>
        </is>
      </c>
      <c r="O2026" t="n">
        <v>65</v>
      </c>
      <c r="P2026" t="n">
        <v>0.004143</v>
      </c>
      <c r="Q2026" t="n">
        <v>-100</v>
      </c>
      <c r="R2026" t="n">
        <v>0.176</v>
      </c>
      <c r="S2026">
        <f>IMAGE("https://mitra.stanford.edu/kundaje/oak/projects/neuro-variants/variant_position/credible/roussos_2024/variant_figures/roussos_2024.adolescence.Astrocyte/rs76144939_count_position.png",4,220,900)</f>
        <v/>
      </c>
      <c r="T2026">
        <f>IMAGE("https://mitra.stanford.edu/kundaje/oak/projects/neuro-variants/variant_position/credible/roussos_2024/variant_figures/roussos_2024.adolescence.Astrocyte/rs76144939_profile_position.png",4,220,900)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-0.221654778</v>
      </c>
      <c r="G2027" t="n">
        <v>0.0141618897276351</v>
      </c>
      <c r="H2027" t="n">
        <v>0.0217872265551401</v>
      </c>
      <c r="I2027" t="n">
        <v>0.1092929573729927</v>
      </c>
      <c r="J2027" t="n">
        <v>0.5001528053882444</v>
      </c>
      <c r="K2027" t="n">
        <v>0.0562352629188032</v>
      </c>
      <c r="L2027" t="b">
        <v>1</v>
      </c>
      <c r="M2027" t="b">
        <v>0</v>
      </c>
      <c r="N2027" t="inlineStr">
        <is>
          <t>ref</t>
        </is>
      </c>
      <c r="O2027" t="n">
        <v>-40</v>
      </c>
      <c r="P2027" t="n">
        <v>0.06042</v>
      </c>
      <c r="Q2027" t="n">
        <v>-65</v>
      </c>
      <c r="R2027" t="n">
        <v>0.09130000000000001</v>
      </c>
      <c r="S2027">
        <f>IMAGE("https://mitra.stanford.edu/kundaje/oak/projects/neuro-variants/variant_position/credible/roussos_2024/variant_figures/roussos_2024.adolescence.Astrocyte/rs10423840_count_position.png",4,220,900)</f>
        <v/>
      </c>
      <c r="T2027">
        <f>IMAGE("https://mitra.stanford.edu/kundaje/oak/projects/neuro-variants/variant_position/credible/roussos_2024/variant_figures/roussos_2024.adolescence.Astrocyte/rs10423840_profile_position.png",4,220,900)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0.01232190146</v>
      </c>
      <c r="G2028" t="n">
        <v>0.6924006039830679</v>
      </c>
      <c r="H2028" t="n">
        <v>0.0288674900968422</v>
      </c>
      <c r="I2028" t="n">
        <v>0.0369936645200615</v>
      </c>
      <c r="J2028" t="n">
        <v>0.0006267988012936</v>
      </c>
      <c r="K2028" t="n">
        <v>0.9169040960863496</v>
      </c>
      <c r="L2028" t="b">
        <v>0</v>
      </c>
      <c r="M2028" t="b">
        <v>0</v>
      </c>
      <c r="N2028" t="inlineStr">
        <is>
          <t>alt</t>
        </is>
      </c>
      <c r="O2028" t="n">
        <v>70</v>
      </c>
      <c r="P2028" t="n">
        <v>0.0461</v>
      </c>
      <c r="Q2028" t="n">
        <v>-100</v>
      </c>
      <c r="R2028" t="n">
        <v>0.02454</v>
      </c>
      <c r="S2028">
        <f>IMAGE("https://mitra.stanford.edu/kundaje/oak/projects/neuro-variants/variant_position/credible/roussos_2024/variant_figures/roussos_2024.adolescence.Astrocyte/rs10404501_count_position.png",4,220,900)</f>
        <v/>
      </c>
      <c r="T2028">
        <f>IMAGE("https://mitra.stanford.edu/kundaje/oak/projects/neuro-variants/variant_position/credible/roussos_2024/variant_figures/roussos_2024.adolescence.Astrocyte/rs10404501_profile_position.png",4,220,900)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-0.107487713</v>
      </c>
      <c r="G2029" t="n">
        <v>0.07924475807942249</v>
      </c>
      <c r="H2029" t="n">
        <v>0.0185998531215216</v>
      </c>
      <c r="I2029" t="n">
        <v>0.1888376505127681</v>
      </c>
      <c r="J2029" t="n">
        <v>0.001767646797021</v>
      </c>
      <c r="K2029" t="n">
        <v>0.844300036638496</v>
      </c>
      <c r="L2029" t="b">
        <v>0</v>
      </c>
      <c r="M2029" t="b">
        <v>0</v>
      </c>
      <c r="N2029" t="inlineStr">
        <is>
          <t>ref</t>
        </is>
      </c>
      <c r="O2029" t="n">
        <v>-75</v>
      </c>
      <c r="P2029" t="n">
        <v>0.0421</v>
      </c>
      <c r="Q2029" t="n">
        <v>-90</v>
      </c>
      <c r="R2029" t="n">
        <v>0.05212</v>
      </c>
      <c r="S2029">
        <f>IMAGE("https://mitra.stanford.edu/kundaje/oak/projects/neuro-variants/variant_position/credible/roussos_2024/variant_figures/roussos_2024.adolescence.Astrocyte/rs12461525_count_position.png",4,220,900)</f>
        <v/>
      </c>
      <c r="T2029">
        <f>IMAGE("https://mitra.stanford.edu/kundaje/oak/projects/neuro-variants/variant_position/credible/roussos_2024/variant_figures/roussos_2024.adolescence.Astrocyte/rs12461525_profile_position.png",4,220,900)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0.200917976</v>
      </c>
      <c r="G2030" t="n">
        <v>0.0178349772690279</v>
      </c>
      <c r="H2030" t="n">
        <v>0.0230702008798549</v>
      </c>
      <c r="I2030" t="n">
        <v>0.0844064161935891</v>
      </c>
      <c r="J2030" t="n">
        <v>0.1828531584725395</v>
      </c>
      <c r="K2030" t="n">
        <v>0.2188332731625552</v>
      </c>
      <c r="L2030" t="b">
        <v>1</v>
      </c>
      <c r="M2030" t="b">
        <v>0</v>
      </c>
      <c r="N2030" t="inlineStr">
        <is>
          <t>alt</t>
        </is>
      </c>
      <c r="O2030" t="n">
        <v>-30</v>
      </c>
      <c r="P2030" t="n">
        <v>0.005478</v>
      </c>
      <c r="Q2030" t="n">
        <v>55</v>
      </c>
      <c r="R2030" t="n">
        <v>0.11035</v>
      </c>
      <c r="S2030">
        <f>IMAGE("https://mitra.stanford.edu/kundaje/oak/projects/neuro-variants/variant_position/credible/roussos_2024/variant_figures/roussos_2024.adolescence.Astrocyte/rs1476503_count_position.png",4,220,900)</f>
        <v/>
      </c>
      <c r="T2030">
        <f>IMAGE("https://mitra.stanford.edu/kundaje/oak/projects/neuro-variants/variant_position/credible/roussos_2024/variant_figures/roussos_2024.adolescence.Astrocyte/rs1476503_profile_position.png",4,220,900)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-0.0220058996</v>
      </c>
      <c r="G2031" t="n">
        <v>0.2576850822487891</v>
      </c>
      <c r="H2031" t="n">
        <v>0.0182921025935818</v>
      </c>
      <c r="I2031" t="n">
        <v>0.1852293008619813</v>
      </c>
      <c r="J2031" t="n">
        <v>0.1318658576387858</v>
      </c>
      <c r="K2031" t="n">
        <v>0.2738995688400583</v>
      </c>
      <c r="L2031" t="b">
        <v>0</v>
      </c>
      <c r="M2031" t="b">
        <v>0</v>
      </c>
      <c r="N2031" t="inlineStr">
        <is>
          <t>ref</t>
        </is>
      </c>
      <c r="O2031" t="n">
        <v>-35</v>
      </c>
      <c r="P2031" t="n">
        <v>0.003273</v>
      </c>
      <c r="Q2031" t="n">
        <v>45</v>
      </c>
      <c r="R2031" t="n">
        <v>0.09674000000000001</v>
      </c>
      <c r="S2031">
        <f>IMAGE("https://mitra.stanford.edu/kundaje/oak/projects/neuro-variants/variant_position/credible/roussos_2024/variant_figures/roussos_2024.adolescence.Astrocyte/rs1476504_count_position.png",4,220,900)</f>
        <v/>
      </c>
      <c r="T2031">
        <f>IMAGE("https://mitra.stanford.edu/kundaje/oak/projects/neuro-variants/variant_position/credible/roussos_2024/variant_figures/roussos_2024.adolescence.Astrocyte/rs1476504_profile_position.png",4,220,900)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-0.0130839064</v>
      </c>
      <c r="G2032" t="n">
        <v>0.5832298477085242</v>
      </c>
      <c r="H2032" t="n">
        <v>0.0134255787485051</v>
      </c>
      <c r="I2032" t="n">
        <v>0.4272561718448088</v>
      </c>
      <c r="J2032" t="n">
        <v>0.2083657241195145</v>
      </c>
      <c r="K2032" t="n">
        <v>0.1965208922297436</v>
      </c>
      <c r="L2032" t="b">
        <v>0</v>
      </c>
      <c r="M2032" t="b">
        <v>0</v>
      </c>
      <c r="N2032" t="inlineStr">
        <is>
          <t>ref</t>
        </is>
      </c>
      <c r="O2032" t="n">
        <v>0</v>
      </c>
      <c r="P2032" t="n">
        <v>0</v>
      </c>
      <c r="Q2032" t="n">
        <v>0</v>
      </c>
      <c r="R2032" t="n">
        <v>0</v>
      </c>
      <c r="S2032">
        <f>IMAGE("https://mitra.stanford.edu/kundaje/oak/projects/neuro-variants/variant_position/credible/roussos_2024/variant_figures/roussos_2024.adolescence.Astrocyte/rs7249719_count_position.png",4,220,900)</f>
        <v/>
      </c>
      <c r="T2032">
        <f>IMAGE("https://mitra.stanford.edu/kundaje/oak/projects/neuro-variants/variant_position/credible/roussos_2024/variant_figures/roussos_2024.adolescence.Astrocyte/rs7249719_profile_position.png",4,220,900)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-0.1850662912</v>
      </c>
      <c r="G2033" t="n">
        <v>0.0244467543405516</v>
      </c>
      <c r="H2033" t="n">
        <v>0.0192815075983469</v>
      </c>
      <c r="I2033" t="n">
        <v>0.1569816558197917</v>
      </c>
      <c r="J2033" t="n">
        <v>0.2301879654630151</v>
      </c>
      <c r="K2033" t="n">
        <v>0.1817858222633411</v>
      </c>
      <c r="L2033" t="b">
        <v>0</v>
      </c>
      <c r="M2033" t="b">
        <v>0</v>
      </c>
      <c r="N2033" t="inlineStr">
        <is>
          <t>ref</t>
        </is>
      </c>
      <c r="O2033" t="n">
        <v>35</v>
      </c>
      <c r="P2033" t="n">
        <v>0.01425</v>
      </c>
      <c r="Q2033" t="n">
        <v>40</v>
      </c>
      <c r="R2033" t="n">
        <v>0.1057</v>
      </c>
      <c r="S2033">
        <f>IMAGE("https://mitra.stanford.edu/kundaje/oak/projects/neuro-variants/variant_position/credible/roussos_2024/variant_figures/roussos_2024.adolescence.Astrocyte/rs2287897_count_position.png",4,220,900)</f>
        <v/>
      </c>
      <c r="T2033">
        <f>IMAGE("https://mitra.stanford.edu/kundaje/oak/projects/neuro-variants/variant_position/credible/roussos_2024/variant_figures/roussos_2024.adolescence.Astrocyte/rs2287897_profile_position.png",4,220,900)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0.0118360326599999</v>
      </c>
      <c r="G2034" t="n">
        <v>0.6965565860213808</v>
      </c>
      <c r="H2034" t="n">
        <v>0.0289386189975495</v>
      </c>
      <c r="I2034" t="n">
        <v>0.0361288617411091</v>
      </c>
      <c r="J2034" t="n">
        <v>0.0064534314452718</v>
      </c>
      <c r="K2034" t="n">
        <v>0.7094076508335114</v>
      </c>
      <c r="L2034" t="b">
        <v>0</v>
      </c>
      <c r="M2034" t="b">
        <v>0</v>
      </c>
      <c r="N2034" t="inlineStr">
        <is>
          <t>alt</t>
        </is>
      </c>
      <c r="O2034" t="n">
        <v>-55</v>
      </c>
      <c r="P2034" t="n">
        <v>0.1395</v>
      </c>
      <c r="Q2034" t="n">
        <v>-100</v>
      </c>
      <c r="R2034" t="n">
        <v>0.2126</v>
      </c>
      <c r="S2034">
        <f>IMAGE("https://mitra.stanford.edu/kundaje/oak/projects/neuro-variants/variant_position/credible/roussos_2024/variant_figures/roussos_2024.adolescence.Astrocyte/rs2432051_count_position.png",4,220,900)</f>
        <v/>
      </c>
      <c r="T2034">
        <f>IMAGE("https://mitra.stanford.edu/kundaje/oak/projects/neuro-variants/variant_position/credible/roussos_2024/variant_figures/roussos_2024.adolescence.Astrocyte/rs2432051_profile_position.png",4,220,900)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-0.001427294032</v>
      </c>
      <c r="G2035" t="n">
        <v>0.8972281031515505</v>
      </c>
      <c r="H2035" t="n">
        <v>0.009534645150275</v>
      </c>
      <c r="I2035" t="n">
        <v>0.7961526248240421</v>
      </c>
      <c r="J2035" t="n">
        <v>0.0507284218022133</v>
      </c>
      <c r="K2035" t="n">
        <v>0.450716130744861</v>
      </c>
      <c r="L2035" t="b">
        <v>0</v>
      </c>
      <c r="M2035" t="b">
        <v>0</v>
      </c>
      <c r="N2035" t="inlineStr">
        <is>
          <t>ref</t>
        </is>
      </c>
      <c r="O2035" t="n">
        <v>5</v>
      </c>
      <c r="P2035" t="n">
        <v>0.00124</v>
      </c>
      <c r="Q2035" t="n">
        <v>90</v>
      </c>
      <c r="R2035" t="n">
        <v>0.1371</v>
      </c>
      <c r="S2035">
        <f>IMAGE("https://mitra.stanford.edu/kundaje/oak/projects/neuro-variants/variant_position/credible/roussos_2024/variant_figures/roussos_2024.adolescence.Astrocyte/rs2972537_count_position.png",4,220,900)</f>
        <v/>
      </c>
      <c r="T2035">
        <f>IMAGE("https://mitra.stanford.edu/kundaje/oak/projects/neuro-variants/variant_position/credible/roussos_2024/variant_figures/roussos_2024.adolescence.Astrocyte/rs2972537_profile_position.png",4,220,900)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-0.0538392761999999</v>
      </c>
      <c r="G2036" t="n">
        <v>0.2113092255633911</v>
      </c>
      <c r="H2036" t="n">
        <v>0.0189933541876465</v>
      </c>
      <c r="I2036" t="n">
        <v>0.1612191101142296</v>
      </c>
      <c r="J2036" t="n">
        <v>0.1918753523425213</v>
      </c>
      <c r="K2036" t="n">
        <v>0.2125585532977318</v>
      </c>
      <c r="L2036" t="b">
        <v>0</v>
      </c>
      <c r="M2036" t="b">
        <v>0</v>
      </c>
      <c r="N2036" t="inlineStr">
        <is>
          <t>ref</t>
        </is>
      </c>
      <c r="O2036" t="n">
        <v>15</v>
      </c>
      <c r="P2036" t="n">
        <v>0.0008050000000000001</v>
      </c>
      <c r="Q2036" t="n">
        <v>45</v>
      </c>
      <c r="R2036" t="n">
        <v>0.04977</v>
      </c>
      <c r="S2036">
        <f>IMAGE("https://mitra.stanford.edu/kundaje/oak/projects/neuro-variants/variant_position/credible/roussos_2024/variant_figures/roussos_2024.adolescence.Astrocyte/rs149760493_count_position.png",4,220,900)</f>
        <v/>
      </c>
      <c r="T2036">
        <f>IMAGE("https://mitra.stanford.edu/kundaje/oak/projects/neuro-variants/variant_position/credible/roussos_2024/variant_figures/roussos_2024.adolescence.Astrocyte/rs149760493_profile_position.png",4,220,900)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-0.02626188412</v>
      </c>
      <c r="G2037" t="n">
        <v>0.4691360500713697</v>
      </c>
      <c r="H2037" t="n">
        <v>0.0141390089301203</v>
      </c>
      <c r="I2037" t="n">
        <v>0.377796680187379</v>
      </c>
      <c r="J2037" t="n">
        <v>0.1058585289143399</v>
      </c>
      <c r="K2037" t="n">
        <v>0.3281251986791386</v>
      </c>
      <c r="L2037" t="b">
        <v>0</v>
      </c>
      <c r="M2037" t="b">
        <v>0</v>
      </c>
      <c r="N2037" t="inlineStr">
        <is>
          <t>ref</t>
        </is>
      </c>
      <c r="O2037" t="n">
        <v>85</v>
      </c>
      <c r="P2037" t="n">
        <v>0.001183</v>
      </c>
      <c r="Q2037" t="n">
        <v>-30</v>
      </c>
      <c r="R2037" t="n">
        <v>0.063</v>
      </c>
      <c r="S2037">
        <f>IMAGE("https://mitra.stanford.edu/kundaje/oak/projects/neuro-variants/variant_position/credible/roussos_2024/variant_figures/roussos_2024.adolescence.Astrocyte/rs140163185_count_position.png",4,220,900)</f>
        <v/>
      </c>
      <c r="T2037">
        <f>IMAGE("https://mitra.stanford.edu/kundaje/oak/projects/neuro-variants/variant_position/credible/roussos_2024/variant_figures/roussos_2024.adolescence.Astrocyte/rs140163185_profile_position.png",4,220,900)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-0.0104410092</v>
      </c>
      <c r="G2038" t="n">
        <v>0.4654372537283563</v>
      </c>
      <c r="H2038" t="n">
        <v>0.0114191437969857</v>
      </c>
      <c r="I2038" t="n">
        <v>0.6120428921145689</v>
      </c>
      <c r="J2038" t="n">
        <v>0.0320149541583835</v>
      </c>
      <c r="K2038" t="n">
        <v>0.5110541151517953</v>
      </c>
      <c r="L2038" t="b">
        <v>0</v>
      </c>
      <c r="M2038" t="b">
        <v>0</v>
      </c>
      <c r="N2038" t="inlineStr">
        <is>
          <t>ref</t>
        </is>
      </c>
      <c r="O2038" t="n">
        <v>65</v>
      </c>
      <c r="P2038" t="n">
        <v>0.007446</v>
      </c>
      <c r="Q2038" t="n">
        <v>85</v>
      </c>
      <c r="R2038" t="n">
        <v>0.010315</v>
      </c>
      <c r="S2038">
        <f>IMAGE("https://mitra.stanford.edu/kundaje/oak/projects/neuro-variants/variant_position/credible/roussos_2024/variant_figures/roussos_2024.adolescence.Astrocyte/rs150020955_count_position.png",4,220,900)</f>
        <v/>
      </c>
      <c r="T2038">
        <f>IMAGE("https://mitra.stanford.edu/kundaje/oak/projects/neuro-variants/variant_position/credible/roussos_2024/variant_figures/roussos_2024.adolescence.Astrocyte/rs150020955_profile_position.png",4,220,900)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0.009730923379999999</v>
      </c>
      <c r="G2039" t="n">
        <v>0.7229137556129046</v>
      </c>
      <c r="H2039" t="n">
        <v>0.0091370042343392</v>
      </c>
      <c r="I2039" t="n">
        <v>0.8419792378997727</v>
      </c>
      <c r="J2039" t="n">
        <v>0.2838686467080081</v>
      </c>
      <c r="K2039" t="n">
        <v>0.1432342028690454</v>
      </c>
      <c r="L2039" t="b">
        <v>0</v>
      </c>
      <c r="M2039" t="b">
        <v>0</v>
      </c>
      <c r="N2039" t="inlineStr">
        <is>
          <t>alt</t>
        </is>
      </c>
      <c r="O2039" t="n">
        <v>100</v>
      </c>
      <c r="P2039" t="n">
        <v>0.02045</v>
      </c>
      <c r="Q2039" t="n">
        <v>90</v>
      </c>
      <c r="R2039" t="n">
        <v>0.05804</v>
      </c>
      <c r="S2039">
        <f>IMAGE("https://mitra.stanford.edu/kundaje/oak/projects/neuro-variants/variant_position/credible/roussos_2024/variant_figures/roussos_2024.adolescence.Astrocyte/rs148362166_count_position.png",4,220,900)</f>
        <v/>
      </c>
      <c r="T2039">
        <f>IMAGE("https://mitra.stanford.edu/kundaje/oak/projects/neuro-variants/variant_position/credible/roussos_2024/variant_figures/roussos_2024.adolescence.Astrocyte/rs148362166_profile_position.png",4,220,900)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-0.0207992333</v>
      </c>
      <c r="G2040" t="n">
        <v>0.5286695365581084</v>
      </c>
      <c r="H2040" t="n">
        <v>0.0147804176000531</v>
      </c>
      <c r="I2040" t="n">
        <v>0.3354636367400377</v>
      </c>
      <c r="J2040" t="n">
        <v>0.2187401714980862</v>
      </c>
      <c r="K2040" t="n">
        <v>0.1880356577843056</v>
      </c>
      <c r="L2040" t="b">
        <v>0</v>
      </c>
      <c r="M2040" t="b">
        <v>0</v>
      </c>
      <c r="N2040" t="inlineStr">
        <is>
          <t>ref</t>
        </is>
      </c>
      <c r="O2040" t="n">
        <v>-95</v>
      </c>
      <c r="P2040" t="n">
        <v>0.010826</v>
      </c>
      <c r="Q2040" t="n">
        <v>-25</v>
      </c>
      <c r="R2040" t="n">
        <v>0.01816</v>
      </c>
      <c r="S2040">
        <f>IMAGE("https://mitra.stanford.edu/kundaje/oak/projects/neuro-variants/variant_position/credible/roussos_2024/variant_figures/roussos_2024.adolescence.Astrocyte/rs12983497_count_position.png",4,220,900)</f>
        <v/>
      </c>
      <c r="T2040">
        <f>IMAGE("https://mitra.stanford.edu/kundaje/oak/projects/neuro-variants/variant_position/credible/roussos_2024/variant_figures/roussos_2024.adolescence.Astrocyte/rs12983497_profile_position.png",4,220,900)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-0.277774024</v>
      </c>
      <c r="G2041" t="n">
        <v>0.008363081035188701</v>
      </c>
      <c r="H2041" t="n">
        <v>0.0309900777749013</v>
      </c>
      <c r="I2041" t="n">
        <v>0.0278220438393696</v>
      </c>
      <c r="J2041" t="n">
        <v>0.3202978963297035</v>
      </c>
      <c r="K2041" t="n">
        <v>0.1238894827590972</v>
      </c>
      <c r="L2041" t="b">
        <v>1</v>
      </c>
      <c r="M2041" t="b">
        <v>1</v>
      </c>
      <c r="N2041" t="inlineStr">
        <is>
          <t>ref</t>
        </is>
      </c>
      <c r="O2041" t="n">
        <v>-35</v>
      </c>
      <c r="P2041" t="n">
        <v>0.010635</v>
      </c>
      <c r="Q2041" t="n">
        <v>-30</v>
      </c>
      <c r="R2041" t="n">
        <v>0.04004</v>
      </c>
      <c r="S2041">
        <f>IMAGE("https://mitra.stanford.edu/kundaje/oak/projects/neuro-variants/variant_position/credible/roussos_2024/variant_figures/roussos_2024.adolescence.Astrocyte/rs3810356_count_position.png",4,220,900)</f>
        <v/>
      </c>
      <c r="T2041">
        <f>IMAGE("https://mitra.stanford.edu/kundaje/oak/projects/neuro-variants/variant_position/credible/roussos_2024/variant_figures/roussos_2024.adolescence.Astrocyte/rs3810356_profile_position.png",4,220,900)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-0.002549767028</v>
      </c>
      <c r="G2042" t="n">
        <v>0.819765196326999</v>
      </c>
      <c r="H2042" t="n">
        <v>0.025839339783277</v>
      </c>
      <c r="I2042" t="n">
        <v>0.0633335858329459</v>
      </c>
      <c r="J2042" t="n">
        <v>0.0635062160638518</v>
      </c>
      <c r="K2042" t="n">
        <v>0.4381847188164732</v>
      </c>
      <c r="L2042" t="b">
        <v>0</v>
      </c>
      <c r="M2042" t="b">
        <v>0</v>
      </c>
      <c r="N2042" t="inlineStr">
        <is>
          <t>ref</t>
        </is>
      </c>
      <c r="O2042" t="n">
        <v>-75</v>
      </c>
      <c r="P2042" t="n">
        <v>0.04944</v>
      </c>
      <c r="Q2042" t="n">
        <v>5</v>
      </c>
      <c r="R2042" t="n">
        <v>0.00659</v>
      </c>
      <c r="S2042">
        <f>IMAGE("https://mitra.stanford.edu/kundaje/oak/projects/neuro-variants/variant_position/credible/roussos_2024/variant_figures/roussos_2024.adolescence.Astrocyte/rs569675332_count_position.png",4,220,900)</f>
        <v/>
      </c>
      <c r="T2042">
        <f>IMAGE("https://mitra.stanford.edu/kundaje/oak/projects/neuro-variants/variant_position/credible/roussos_2024/variant_figures/roussos_2024.adolescence.Astrocyte/rs569675332_profile_position.png",4,220,900)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-0.001877283042</v>
      </c>
      <c r="G2043" t="n">
        <v>0.903207151804639</v>
      </c>
      <c r="H2043" t="n">
        <v>0.0264421683116262</v>
      </c>
      <c r="I2043" t="n">
        <v>0.052994215033208</v>
      </c>
      <c r="J2043" t="n">
        <v>0.064238346734712</v>
      </c>
      <c r="K2043" t="n">
        <v>0.4356397742999506</v>
      </c>
      <c r="L2043" t="b">
        <v>0</v>
      </c>
      <c r="M2043" t="b">
        <v>0</v>
      </c>
      <c r="N2043" t="inlineStr">
        <is>
          <t>ref</t>
        </is>
      </c>
      <c r="O2043" t="n">
        <v>-100</v>
      </c>
      <c r="P2043" t="n">
        <v>0.0914</v>
      </c>
      <c r="Q2043" t="n">
        <v>-40</v>
      </c>
      <c r="R2043" t="n">
        <v>0.1045</v>
      </c>
      <c r="S2043">
        <f>IMAGE("https://mitra.stanford.edu/kundaje/oak/projects/neuro-variants/variant_position/credible/roussos_2024/variant_figures/roussos_2024.adolescence.Astrocyte/rs182522360_count_position.png",4,220,900)</f>
        <v/>
      </c>
      <c r="T2043">
        <f>IMAGE("https://mitra.stanford.edu/kundaje/oak/projects/neuro-variants/variant_position/credible/roussos_2024/variant_figures/roussos_2024.adolescence.Astrocyte/rs182522360_profile_position.png",4,220,900)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0.162047014</v>
      </c>
      <c r="G2044" t="n">
        <v>0.0296557770176678</v>
      </c>
      <c r="H2044" t="n">
        <v>0.023523553550736</v>
      </c>
      <c r="I2044" t="n">
        <v>0.07916250606631429</v>
      </c>
      <c r="J2044" t="n">
        <v>0.2807331691540812</v>
      </c>
      <c r="K2044" t="n">
        <v>0.145091016953947</v>
      </c>
      <c r="L2044" t="b">
        <v>0</v>
      </c>
      <c r="M2044" t="b">
        <v>0</v>
      </c>
      <c r="N2044" t="inlineStr">
        <is>
          <t>alt</t>
        </is>
      </c>
      <c r="O2044" t="n">
        <v>-20</v>
      </c>
      <c r="P2044" t="n">
        <v>0.00522</v>
      </c>
      <c r="Q2044" t="n">
        <v>-20</v>
      </c>
      <c r="R2044" t="n">
        <v>0.08069999999999999</v>
      </c>
      <c r="S2044">
        <f>IMAGE("https://mitra.stanford.edu/kundaje/oak/projects/neuro-variants/variant_position/credible/roussos_2024/variant_figures/roussos_2024.adolescence.Astrocyte/rs855616_count_position.png",4,220,900)</f>
        <v/>
      </c>
      <c r="T2044">
        <f>IMAGE("https://mitra.stanford.edu/kundaje/oak/projects/neuro-variants/variant_position/credible/roussos_2024/variant_figures/roussos_2024.adolescence.Astrocyte/rs855616_profile_position.png",4,220,900)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0.1402489726</v>
      </c>
      <c r="G2045" t="n">
        <v>0.0578234242076031</v>
      </c>
      <c r="H2045" t="n">
        <v>0.0217503826315712</v>
      </c>
      <c r="I2045" t="n">
        <v>0.1179263433541391</v>
      </c>
      <c r="J2045" t="n">
        <v>0.3166476278076135</v>
      </c>
      <c r="K2045" t="n">
        <v>0.1222976330378942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0.04254</v>
      </c>
      <c r="Q2045" t="n">
        <v>80</v>
      </c>
      <c r="R2045" t="n">
        <v>0.1423</v>
      </c>
      <c r="S2045">
        <f>IMAGE("https://mitra.stanford.edu/kundaje/oak/projects/neuro-variants/variant_position/credible/roussos_2024/variant_figures/roussos_2024.adolescence.Astrocyte/rs8110434_count_position.png",4,220,900)</f>
        <v/>
      </c>
      <c r="T2045">
        <f>IMAGE("https://mitra.stanford.edu/kundaje/oak/projects/neuro-variants/variant_position/credible/roussos_2024/variant_figures/roussos_2024.adolescence.Astrocyte/rs8110434_profile_position.png",4,220,900)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-0.0407803744</v>
      </c>
      <c r="G2046" t="n">
        <v>0.3073347634394822</v>
      </c>
      <c r="H2046" t="n">
        <v>0.0465676103721032</v>
      </c>
      <c r="I2046" t="n">
        <v>0.005158358751066</v>
      </c>
      <c r="J2046" t="n">
        <v>0.011793460522802</v>
      </c>
      <c r="K2046" t="n">
        <v>0.6461854814907421</v>
      </c>
      <c r="L2046" t="b">
        <v>1</v>
      </c>
      <c r="M2046" t="b">
        <v>0</v>
      </c>
      <c r="N2046" t="inlineStr">
        <is>
          <t>ref</t>
        </is>
      </c>
      <c r="O2046" t="n">
        <v>-75</v>
      </c>
      <c r="P2046" t="n">
        <v>0.01569</v>
      </c>
      <c r="Q2046" t="n">
        <v>30</v>
      </c>
      <c r="R2046" t="n">
        <v>0.06104</v>
      </c>
      <c r="S2046">
        <f>IMAGE("https://mitra.stanford.edu/kundaje/oak/projects/neuro-variants/variant_position/credible/roussos_2024/variant_figures/roussos_2024.adolescence.Astrocyte/rs4803805_count_position.png",4,220,900)</f>
        <v/>
      </c>
      <c r="T2046">
        <f>IMAGE("https://mitra.stanford.edu/kundaje/oak/projects/neuro-variants/variant_position/credible/roussos_2024/variant_figures/roussos_2024.adolescence.Astrocyte/rs4803805_profile_position.png",4,220,900)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0.258386972</v>
      </c>
      <c r="G2047" t="n">
        <v>0.0125334505783533</v>
      </c>
      <c r="H2047" t="n">
        <v>0.0293887764680461</v>
      </c>
      <c r="I2047" t="n">
        <v>0.0358975214612378</v>
      </c>
      <c r="J2047" t="n">
        <v>0.0554297836987805</v>
      </c>
      <c r="K2047" t="n">
        <v>0.4219917408491501</v>
      </c>
      <c r="L2047" t="b">
        <v>1</v>
      </c>
      <c r="M2047" t="b">
        <v>0</v>
      </c>
      <c r="N2047" t="inlineStr">
        <is>
          <t>alt</t>
        </is>
      </c>
      <c r="O2047" t="n">
        <v>30</v>
      </c>
      <c r="P2047" t="n">
        <v>0.0002594</v>
      </c>
      <c r="Q2047" t="n">
        <v>-90</v>
      </c>
      <c r="R2047" t="n">
        <v>0.03488</v>
      </c>
      <c r="S2047">
        <f>IMAGE("https://mitra.stanford.edu/kundaje/oak/projects/neuro-variants/variant_position/credible/roussos_2024/variant_figures/roussos_2024.adolescence.Astrocyte/rs61185863_count_position.png",4,220,900)</f>
        <v/>
      </c>
      <c r="T2047">
        <f>IMAGE("https://mitra.stanford.edu/kundaje/oak/projects/neuro-variants/variant_position/credible/roussos_2024/variant_figures/roussos_2024.adolescence.Astrocyte/rs61185863_profile_position.png",4,220,900)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0.014135010412</v>
      </c>
      <c r="G2048" t="n">
        <v>0.6401817870168192</v>
      </c>
      <c r="H2048" t="n">
        <v>0.0272902019302959</v>
      </c>
      <c r="I2048" t="n">
        <v>0.045012806689254</v>
      </c>
      <c r="J2048" t="n">
        <v>0.0034381212354982</v>
      </c>
      <c r="K2048" t="n">
        <v>0.7751587990733909</v>
      </c>
      <c r="L2048" t="b">
        <v>0</v>
      </c>
      <c r="M2048" t="b">
        <v>0</v>
      </c>
      <c r="N2048" t="inlineStr">
        <is>
          <t>alt</t>
        </is>
      </c>
      <c r="O2048" t="n">
        <v>-100</v>
      </c>
      <c r="P2048" t="n">
        <v>0.02551</v>
      </c>
      <c r="Q2048" t="n">
        <v>-65</v>
      </c>
      <c r="R2048" t="n">
        <v>0.1124</v>
      </c>
      <c r="S2048">
        <f>IMAGE("https://mitra.stanford.edu/kundaje/oak/projects/neuro-variants/variant_position/credible/roussos_2024/variant_figures/roussos_2024.adolescence.Astrocyte/rs10401165_count_position.png",4,220,900)</f>
        <v/>
      </c>
      <c r="T2048">
        <f>IMAGE("https://mitra.stanford.edu/kundaje/oak/projects/neuro-variants/variant_position/credible/roussos_2024/variant_figures/roussos_2024.adolescence.Astrocyte/rs10401165_profile_position.png",4,220,900)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0.039787054</v>
      </c>
      <c r="G2049" t="n">
        <v>0.3084317072603632</v>
      </c>
      <c r="H2049" t="n">
        <v>0.0514712844966753</v>
      </c>
      <c r="I2049" t="n">
        <v>0.0034645299613946</v>
      </c>
      <c r="J2049" t="n">
        <v>0.3001120078331306</v>
      </c>
      <c r="K2049" t="n">
        <v>0.1346006451943617</v>
      </c>
      <c r="L2049" t="b">
        <v>1</v>
      </c>
      <c r="M2049" t="b">
        <v>1</v>
      </c>
      <c r="N2049" t="inlineStr">
        <is>
          <t>alt</t>
        </is>
      </c>
      <c r="O2049" t="n">
        <v>10</v>
      </c>
      <c r="P2049" t="n">
        <v>0.00283</v>
      </c>
      <c r="Q2049" t="n">
        <v>40</v>
      </c>
      <c r="R2049" t="n">
        <v>0.09106</v>
      </c>
      <c r="S2049">
        <f>IMAGE("https://mitra.stanford.edu/kundaje/oak/projects/neuro-variants/variant_position/credible/roussos_2024/variant_figures/roussos_2024.adolescence.Astrocyte/rs66675705_count_position.png",4,220,900)</f>
        <v/>
      </c>
      <c r="T2049">
        <f>IMAGE("https://mitra.stanford.edu/kundaje/oak/projects/neuro-variants/variant_position/credible/roussos_2024/variant_figures/roussos_2024.adolescence.Astrocyte/rs66675705_profile_position.png",4,220,900)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-0.0182633724</v>
      </c>
      <c r="G2050" t="n">
        <v>0.5396528214236666</v>
      </c>
      <c r="H2050" t="n">
        <v>0.0139198552495805</v>
      </c>
      <c r="I2050" t="n">
        <v>0.3940237591600944</v>
      </c>
      <c r="J2050" t="n">
        <v>0.9292525887903154</v>
      </c>
      <c r="K2050" t="n">
        <v>0.0005796234799163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0.05328</v>
      </c>
      <c r="Q2050" t="n">
        <v>100</v>
      </c>
      <c r="R2050" t="n">
        <v>0.1072</v>
      </c>
      <c r="S2050">
        <f>IMAGE("https://mitra.stanford.edu/kundaje/oak/projects/neuro-variants/variant_position/credible/roussos_2024/variant_figures/roussos_2024.adolescence.Astrocyte/rs2304206_count_position.png",4,220,900)</f>
        <v/>
      </c>
      <c r="T2050">
        <f>IMAGE("https://mitra.stanford.edu/kundaje/oak/projects/neuro-variants/variant_position/credible/roussos_2024/variant_figures/roussos_2024.adolescence.Astrocyte/rs2304206_profile_position.png",4,220,900)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0.02685110472</v>
      </c>
      <c r="G2051" t="n">
        <v>0.4436959516045887</v>
      </c>
      <c r="H2051" t="n">
        <v>0.0276357084629853</v>
      </c>
      <c r="I2051" t="n">
        <v>0.0447704671115724</v>
      </c>
      <c r="J2051" t="n">
        <v>0.9423760496098272</v>
      </c>
      <c r="K2051" t="n">
        <v>0.0003093693458766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0.11646</v>
      </c>
      <c r="Q2051" t="n">
        <v>100</v>
      </c>
      <c r="R2051" t="n">
        <v>0.4941</v>
      </c>
      <c r="S2051">
        <f>IMAGE("https://mitra.stanford.edu/kundaje/oak/projects/neuro-variants/variant_position/credible/roussos_2024/variant_figures/roussos_2024.adolescence.Astrocyte/rs2304205_count_position.png",4,220,900)</f>
        <v/>
      </c>
      <c r="T2051">
        <f>IMAGE("https://mitra.stanford.edu/kundaje/oak/projects/neuro-variants/variant_position/credible/roussos_2024/variant_figures/roussos_2024.adolescence.Astrocyte/rs2304205_profile_position.png",4,220,900)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0.04032901492</v>
      </c>
      <c r="G2052" t="n">
        <v>0.3541624812396173</v>
      </c>
      <c r="H2052" t="n">
        <v>0.0204271624564637</v>
      </c>
      <c r="I2052" t="n">
        <v>0.1271788467698792</v>
      </c>
      <c r="J2052" t="n">
        <v>0.7146500311544965</v>
      </c>
      <c r="K2052" t="n">
        <v>0.0168561545545596</v>
      </c>
      <c r="L2052" t="b">
        <v>0</v>
      </c>
      <c r="M2052" t="b">
        <v>0</v>
      </c>
      <c r="N2052" t="inlineStr">
        <is>
          <t>alt</t>
        </is>
      </c>
      <c r="O2052" t="n">
        <v>80</v>
      </c>
      <c r="P2052" t="n">
        <v>0.00453</v>
      </c>
      <c r="Q2052" t="n">
        <v>-70</v>
      </c>
      <c r="R2052" t="n">
        <v>0.07153</v>
      </c>
      <c r="S2052">
        <f>IMAGE("https://mitra.stanford.edu/kundaje/oak/projects/neuro-variants/variant_position/credible/roussos_2024/variant_figures/roussos_2024.adolescence.Astrocyte/rs2278999_count_position.png",4,220,900)</f>
        <v/>
      </c>
      <c r="T2052">
        <f>IMAGE("https://mitra.stanford.edu/kundaje/oak/projects/neuro-variants/variant_position/credible/roussos_2024/variant_figures/roussos_2024.adolescence.Astrocyte/rs2278999_profile_position.png",4,220,900)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0.0725631944</v>
      </c>
      <c r="G2053" t="n">
        <v>0.1329536677073108</v>
      </c>
      <c r="H2053" t="n">
        <v>0.0124662600302705</v>
      </c>
      <c r="I2053" t="n">
        <v>0.5148563006699982</v>
      </c>
      <c r="J2053" t="n">
        <v>0.0931215322078152</v>
      </c>
      <c r="K2053" t="n">
        <v>0.3336836576882527</v>
      </c>
      <c r="L2053" t="b">
        <v>0</v>
      </c>
      <c r="M2053" t="b">
        <v>0</v>
      </c>
      <c r="N2053" t="inlineStr">
        <is>
          <t>alt</t>
        </is>
      </c>
      <c r="O2053" t="n">
        <v>100</v>
      </c>
      <c r="P2053" t="n">
        <v>0.01364</v>
      </c>
      <c r="Q2053" t="n">
        <v>5</v>
      </c>
      <c r="R2053" t="n">
        <v>0.005737</v>
      </c>
      <c r="S2053">
        <f>IMAGE("https://mitra.stanford.edu/kundaje/oak/projects/neuro-variants/variant_position/credible/roussos_2024/variant_figures/roussos_2024.adolescence.Astrocyte/rs2052241_count_position.png",4,220,900)</f>
        <v/>
      </c>
      <c r="T2053">
        <f>IMAGE("https://mitra.stanford.edu/kundaje/oak/projects/neuro-variants/variant_position/credible/roussos_2024/variant_figures/roussos_2024.adolescence.Astrocyte/rs2052241_profile_position.png",4,220,900)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0.1878995132</v>
      </c>
      <c r="G2054" t="n">
        <v>0.0257843844218515</v>
      </c>
      <c r="H2054" t="n">
        <v>0.0223888610795474</v>
      </c>
      <c r="I2054" t="n">
        <v>0.0986131217977802</v>
      </c>
      <c r="J2054" t="n">
        <v>0.5889586980387502</v>
      </c>
      <c r="K2054" t="n">
        <v>0.0354364262585214</v>
      </c>
      <c r="L2054" t="b">
        <v>0</v>
      </c>
      <c r="M2054" t="b">
        <v>0</v>
      </c>
      <c r="N2054" t="inlineStr">
        <is>
          <t>alt</t>
        </is>
      </c>
      <c r="O2054" t="n">
        <v>40</v>
      </c>
      <c r="P2054" t="n">
        <v>0.004944</v>
      </c>
      <c r="Q2054" t="n">
        <v>35</v>
      </c>
      <c r="R2054" t="n">
        <v>0.0791</v>
      </c>
      <c r="S2054">
        <f>IMAGE("https://mitra.stanford.edu/kundaje/oak/projects/neuro-variants/variant_position/credible/roussos_2024/variant_figures/roussos_2024.adolescence.Astrocyte/rs758749_count_position.png",4,220,900)</f>
        <v/>
      </c>
      <c r="T2054">
        <f>IMAGE("https://mitra.stanford.edu/kundaje/oak/projects/neuro-variants/variant_position/credible/roussos_2024/variant_figures/roussos_2024.adolescence.Astrocyte/rs758749_profile_position.png",4,220,900)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0.0611026564</v>
      </c>
      <c r="G2055" t="n">
        <v>0.1782372173941052</v>
      </c>
      <c r="H2055" t="n">
        <v>0.012684473981923</v>
      </c>
      <c r="I2055" t="n">
        <v>0.4931107918526343</v>
      </c>
      <c r="J2055" t="n">
        <v>0.2722294751209091</v>
      </c>
      <c r="K2055" t="n">
        <v>0.1490102102978138</v>
      </c>
      <c r="L2055" t="b">
        <v>0</v>
      </c>
      <c r="M2055" t="b">
        <v>0</v>
      </c>
      <c r="N2055" t="inlineStr">
        <is>
          <t>alt</t>
        </is>
      </c>
      <c r="O2055" t="n">
        <v>45</v>
      </c>
      <c r="P2055" t="n">
        <v>0.003975</v>
      </c>
      <c r="Q2055" t="n">
        <v>45</v>
      </c>
      <c r="R2055" t="n">
        <v>0.1304</v>
      </c>
      <c r="S2055">
        <f>IMAGE("https://mitra.stanford.edu/kundaje/oak/projects/neuro-variants/variant_position/credible/roussos_2024/variant_figures/roussos_2024.adolescence.Astrocyte/rs17247190_count_position.png",4,220,900)</f>
        <v/>
      </c>
      <c r="T2055">
        <f>IMAGE("https://mitra.stanford.edu/kundaje/oak/projects/neuro-variants/variant_position/credible/roussos_2024/variant_figures/roussos_2024.adolescence.Astrocyte/rs17247190_profile_position.png",4,220,900)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0.01139935256</v>
      </c>
      <c r="G2056" t="n">
        <v>0.6718786515121178</v>
      </c>
      <c r="H2056" t="n">
        <v>0.0184068759964251</v>
      </c>
      <c r="I2056" t="n">
        <v>0.176672921456836</v>
      </c>
      <c r="J2056" t="n">
        <v>0.064720499658784</v>
      </c>
      <c r="K2056" t="n">
        <v>0.3932509822111687</v>
      </c>
      <c r="L2056" t="b">
        <v>0</v>
      </c>
      <c r="M2056" t="b">
        <v>0</v>
      </c>
      <c r="N2056" t="inlineStr">
        <is>
          <t>alt</t>
        </is>
      </c>
      <c r="O2056" t="n">
        <v>80</v>
      </c>
      <c r="P2056" t="n">
        <v>0.00679</v>
      </c>
      <c r="Q2056" t="n">
        <v>95</v>
      </c>
      <c r="R2056" t="n">
        <v>0.1032</v>
      </c>
      <c r="S2056">
        <f>IMAGE("https://mitra.stanford.edu/kundaje/oak/projects/neuro-variants/variant_position/credible/roussos_2024/variant_figures/roussos_2024.adolescence.Astrocyte/rs10206268_count_position.png",4,220,900)</f>
        <v/>
      </c>
      <c r="T2056">
        <f>IMAGE("https://mitra.stanford.edu/kundaje/oak/projects/neuro-variants/variant_position/credible/roussos_2024/variant_figures/roussos_2024.adolescence.Astrocyte/rs10206268_profile_position.png",4,220,900)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-0.0063702135999999</v>
      </c>
      <c r="G2057" t="n">
        <v>0.5771219510711514</v>
      </c>
      <c r="H2057" t="n">
        <v>0.0153451265261969</v>
      </c>
      <c r="I2057" t="n">
        <v>0.3063162298967077</v>
      </c>
      <c r="J2057" t="n">
        <v>0.0075497730172387</v>
      </c>
      <c r="K2057" t="n">
        <v>0.6949104007023098</v>
      </c>
      <c r="L2057" t="b">
        <v>0</v>
      </c>
      <c r="M2057" t="b">
        <v>0</v>
      </c>
      <c r="N2057" t="inlineStr">
        <is>
          <t>ref</t>
        </is>
      </c>
      <c r="O2057" t="n">
        <v>0</v>
      </c>
      <c r="P2057" t="n">
        <v>0</v>
      </c>
      <c r="Q2057" t="n">
        <v>0</v>
      </c>
      <c r="R2057" t="n">
        <v>0</v>
      </c>
      <c r="S2057">
        <f>IMAGE("https://mitra.stanford.edu/kundaje/oak/projects/neuro-variants/variant_position/credible/roussos_2024/variant_figures/roussos_2024.adolescence.Astrocyte/rs35983183_count_position.png",4,220,900)</f>
        <v/>
      </c>
      <c r="T2057">
        <f>IMAGE("https://mitra.stanford.edu/kundaje/oak/projects/neuro-variants/variant_position/credible/roussos_2024/variant_figures/roussos_2024.adolescence.Astrocyte/rs35983183_profile_position.png",4,220,900)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0.0580513932</v>
      </c>
      <c r="G2058" t="n">
        <v>0.1829511226967924</v>
      </c>
      <c r="H2058" t="n">
        <v>0.0259965453042787</v>
      </c>
      <c r="I2058" t="n">
        <v>0.0551115369420813</v>
      </c>
      <c r="J2058" t="n">
        <v>0.0042785508708423</v>
      </c>
      <c r="K2058" t="n">
        <v>0.766115867914537</v>
      </c>
      <c r="L2058" t="b">
        <v>0</v>
      </c>
      <c r="M2058" t="b">
        <v>0</v>
      </c>
      <c r="N2058" t="inlineStr">
        <is>
          <t>alt</t>
        </is>
      </c>
      <c r="O2058" t="n">
        <v>-55</v>
      </c>
      <c r="P2058" t="n">
        <v>0.003517</v>
      </c>
      <c r="Q2058" t="n">
        <v>75</v>
      </c>
      <c r="R2058" t="n">
        <v>0.1792</v>
      </c>
      <c r="S2058">
        <f>IMAGE("https://mitra.stanford.edu/kundaje/oak/projects/neuro-variants/variant_position/credible/roussos_2024/variant_figures/roussos_2024.adolescence.Astrocyte/rs35925486_count_position.png",4,220,900)</f>
        <v/>
      </c>
      <c r="T2058">
        <f>IMAGE("https://mitra.stanford.edu/kundaje/oak/projects/neuro-variants/variant_position/credible/roussos_2024/variant_figures/roussos_2024.adolescence.Astrocyte/rs35925486_profile_position.png",4,220,900)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0.0548082071999999</v>
      </c>
      <c r="G2059" t="n">
        <v>0.2164652441176317</v>
      </c>
      <c r="H2059" t="n">
        <v>0.0283845662067592</v>
      </c>
      <c r="I2059" t="n">
        <v>0.0391387709906934</v>
      </c>
      <c r="J2059" t="n">
        <v>0.0133704714713823</v>
      </c>
      <c r="K2059" t="n">
        <v>0.6233874981967151</v>
      </c>
      <c r="L2059" t="b">
        <v>0</v>
      </c>
      <c r="M2059" t="b">
        <v>0</v>
      </c>
      <c r="N2059" t="inlineStr">
        <is>
          <t>alt</t>
        </is>
      </c>
      <c r="O2059" t="n">
        <v>-40</v>
      </c>
      <c r="P2059" t="n">
        <v>0.004745</v>
      </c>
      <c r="Q2059" t="n">
        <v>90</v>
      </c>
      <c r="R2059" t="n">
        <v>0.05417</v>
      </c>
      <c r="S2059">
        <f>IMAGE("https://mitra.stanford.edu/kundaje/oak/projects/neuro-variants/variant_position/credible/roussos_2024/variant_figures/roussos_2024.adolescence.Astrocyte/rs6531063_count_position.png",4,220,900)</f>
        <v/>
      </c>
      <c r="T2059">
        <f>IMAGE("https://mitra.stanford.edu/kundaje/oak/projects/neuro-variants/variant_position/credible/roussos_2024/variant_figures/roussos_2024.adolescence.Astrocyte/rs6531063_profile_position.png",4,220,900)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0.211285444</v>
      </c>
      <c r="G2060" t="n">
        <v>0.0155961183493382</v>
      </c>
      <c r="H2060" t="n">
        <v>0.0225325061252409</v>
      </c>
      <c r="I2060" t="n">
        <v>0.0951467218084768</v>
      </c>
      <c r="J2060" t="n">
        <v>0.08399103937334949</v>
      </c>
      <c r="K2060" t="n">
        <v>0.3600668362079608</v>
      </c>
      <c r="L2060" t="b">
        <v>1</v>
      </c>
      <c r="M2060" t="b">
        <v>0</v>
      </c>
      <c r="N2060" t="inlineStr">
        <is>
          <t>alt</t>
        </is>
      </c>
      <c r="O2060" t="n">
        <v>100</v>
      </c>
      <c r="P2060" t="n">
        <v>0.03702</v>
      </c>
      <c r="Q2060" t="n">
        <v>100</v>
      </c>
      <c r="R2060" t="n">
        <v>0.0979</v>
      </c>
      <c r="S2060">
        <f>IMAGE("https://mitra.stanford.edu/kundaje/oak/projects/neuro-variants/variant_position/credible/roussos_2024/variant_figures/roussos_2024.adolescence.Astrocyte/rs2061607_count_position.png",4,220,900)</f>
        <v/>
      </c>
      <c r="T2060">
        <f>IMAGE("https://mitra.stanford.edu/kundaje/oak/projects/neuro-variants/variant_position/credible/roussos_2024/variant_figures/roussos_2024.adolescence.Astrocyte/rs2061607_profile_position.png",4,220,900)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-0.0744862758</v>
      </c>
      <c r="G2061" t="n">
        <v>0.1384946305695037</v>
      </c>
      <c r="H2061" t="n">
        <v>0.0149354811373233</v>
      </c>
      <c r="I2061" t="n">
        <v>0.3267573456045436</v>
      </c>
      <c r="J2061" t="n">
        <v>0.0240950360502031</v>
      </c>
      <c r="K2061" t="n">
        <v>0.5488891857874096</v>
      </c>
      <c r="L2061" t="b">
        <v>0</v>
      </c>
      <c r="M2061" t="b">
        <v>0</v>
      </c>
      <c r="N2061" t="inlineStr">
        <is>
          <t>ref</t>
        </is>
      </c>
      <c r="O2061" t="n">
        <v>-100</v>
      </c>
      <c r="P2061" t="n">
        <v>0.01175</v>
      </c>
      <c r="Q2061" t="n">
        <v>55</v>
      </c>
      <c r="R2061" t="n">
        <v>0.04855</v>
      </c>
      <c r="S2061">
        <f>IMAGE("https://mitra.stanford.edu/kundaje/oak/projects/neuro-variants/variant_position/credible/roussos_2024/variant_figures/roussos_2024.adolescence.Astrocyte/rs4552217_count_position.png",4,220,900)</f>
        <v/>
      </c>
      <c r="T2061">
        <f>IMAGE("https://mitra.stanford.edu/kundaje/oak/projects/neuro-variants/variant_position/credible/roussos_2024/variant_figures/roussos_2024.adolescence.Astrocyte/rs4552217_profile_position.png",4,220,900)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0.0361078918</v>
      </c>
      <c r="G2062" t="n">
        <v>0.3295568384367221</v>
      </c>
      <c r="H2062" t="n">
        <v>0.0138301844579253</v>
      </c>
      <c r="I2062" t="n">
        <v>0.4034165525358704</v>
      </c>
      <c r="J2062" t="n">
        <v>0.0264034358959142</v>
      </c>
      <c r="K2062" t="n">
        <v>0.5343254117661111</v>
      </c>
      <c r="L2062" t="b">
        <v>0</v>
      </c>
      <c r="M2062" t="b">
        <v>0</v>
      </c>
      <c r="N2062" t="inlineStr">
        <is>
          <t>alt</t>
        </is>
      </c>
      <c r="O2062" t="n">
        <v>-95</v>
      </c>
      <c r="P2062" t="n">
        <v>0.00873</v>
      </c>
      <c r="Q2062" t="n">
        <v>30</v>
      </c>
      <c r="R2062" t="n">
        <v>0.02547</v>
      </c>
      <c r="S2062">
        <f>IMAGE("https://mitra.stanford.edu/kundaje/oak/projects/neuro-variants/variant_position/credible/roussos_2024/variant_figures/roussos_2024.adolescence.Astrocyte/rs4277554_count_position.png",4,220,900)</f>
        <v/>
      </c>
      <c r="T2062">
        <f>IMAGE("https://mitra.stanford.edu/kundaje/oak/projects/neuro-variants/variant_position/credible/roussos_2024/variant_figures/roussos_2024.adolescence.Astrocyte/rs4277554_profile_position.png",4,220,900)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-0.0420395926</v>
      </c>
      <c r="G2063" t="n">
        <v>0.2973830566902785</v>
      </c>
      <c r="H2063" t="n">
        <v>0.0277994823818922</v>
      </c>
      <c r="I2063" t="n">
        <v>0.0435612787820696</v>
      </c>
      <c r="J2063" t="n">
        <v>0.0021986173337684</v>
      </c>
      <c r="K2063" t="n">
        <v>0.8175025971076547</v>
      </c>
      <c r="L2063" t="b">
        <v>0</v>
      </c>
      <c r="M2063" t="b">
        <v>0</v>
      </c>
      <c r="N2063" t="inlineStr">
        <is>
          <t>ref</t>
        </is>
      </c>
      <c r="O2063" t="n">
        <v>55</v>
      </c>
      <c r="P2063" t="n">
        <v>0.0004272</v>
      </c>
      <c r="Q2063" t="n">
        <v>75</v>
      </c>
      <c r="R2063" t="n">
        <v>0.005493</v>
      </c>
      <c r="S2063">
        <f>IMAGE("https://mitra.stanford.edu/kundaje/oak/projects/neuro-variants/variant_position/credible/roussos_2024/variant_figures/roussos_2024.adolescence.Astrocyte/rs7608960_count_position.png",4,220,900)</f>
        <v/>
      </c>
      <c r="T2063">
        <f>IMAGE("https://mitra.stanford.edu/kundaje/oak/projects/neuro-variants/variant_position/credible/roussos_2024/variant_figures/roussos_2024.adolescence.Astrocyte/rs7608960_profile_position.png",4,220,900)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-0.0650608704</v>
      </c>
      <c r="G2064" t="n">
        <v>0.1815470705819513</v>
      </c>
      <c r="H2064" t="n">
        <v>0.0172465575208955</v>
      </c>
      <c r="I2064" t="n">
        <v>0.2219944441073096</v>
      </c>
      <c r="J2064" t="n">
        <v>0.0036754888288875</v>
      </c>
      <c r="K2064" t="n">
        <v>0.7893576428762524</v>
      </c>
      <c r="L2064" t="b">
        <v>0</v>
      </c>
      <c r="M2064" t="b">
        <v>0</v>
      </c>
      <c r="N2064" t="inlineStr">
        <is>
          <t>ref</t>
        </is>
      </c>
      <c r="O2064" t="n">
        <v>-95</v>
      </c>
      <c r="P2064" t="n">
        <v>0.01293</v>
      </c>
      <c r="Q2064" t="n">
        <v>-90</v>
      </c>
      <c r="R2064" t="n">
        <v>0.1887</v>
      </c>
      <c r="S2064">
        <f>IMAGE("https://mitra.stanford.edu/kundaje/oak/projects/neuro-variants/variant_position/credible/roussos_2024/variant_figures/roussos_2024.adolescence.Astrocyte/rs11895519_count_position.png",4,220,900)</f>
        <v/>
      </c>
      <c r="T2064">
        <f>IMAGE("https://mitra.stanford.edu/kundaje/oak/projects/neuro-variants/variant_position/credible/roussos_2024/variant_figures/roussos_2024.adolescence.Astrocyte/rs11895519_profile_position.png",4,220,900)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-0.0181374062</v>
      </c>
      <c r="G2065" t="n">
        <v>0.5896687563411075</v>
      </c>
      <c r="H2065" t="n">
        <v>0.0403722553214583</v>
      </c>
      <c r="I2065" t="n">
        <v>0.0092675148000611</v>
      </c>
      <c r="J2065" t="n">
        <v>0.0001031065483784</v>
      </c>
      <c r="K2065" t="n">
        <v>0.9767368586646272</v>
      </c>
      <c r="L2065" t="b">
        <v>0</v>
      </c>
      <c r="M2065" t="b">
        <v>0</v>
      </c>
      <c r="N2065" t="inlineStr">
        <is>
          <t>ref</t>
        </is>
      </c>
      <c r="O2065" t="n">
        <v>-40</v>
      </c>
      <c r="P2065" t="n">
        <v>0.0029</v>
      </c>
      <c r="Q2065" t="n">
        <v>100</v>
      </c>
      <c r="R2065" t="n">
        <v>0.1278</v>
      </c>
      <c r="S2065">
        <f>IMAGE("https://mitra.stanford.edu/kundaje/oak/projects/neuro-variants/variant_position/credible/roussos_2024/variant_figures/roussos_2024.adolescence.Astrocyte/rs140227113_count_position.png",4,220,900)</f>
        <v/>
      </c>
      <c r="T2065">
        <f>IMAGE("https://mitra.stanford.edu/kundaje/oak/projects/neuro-variants/variant_position/credible/roussos_2024/variant_figures/roussos_2024.adolescence.Astrocyte/rs140227113_profile_position.png",4,220,900)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-0.1130977651999999</v>
      </c>
      <c r="G2066" t="n">
        <v>0.07012771665126261</v>
      </c>
      <c r="H2066" t="n">
        <v>0.0150221701533137</v>
      </c>
      <c r="I2066" t="n">
        <v>0.317479940501267</v>
      </c>
      <c r="J2066" t="n">
        <v>0.2353640625463608</v>
      </c>
      <c r="K2066" t="n">
        <v>0.1781118660036965</v>
      </c>
      <c r="L2066" t="b">
        <v>0</v>
      </c>
      <c r="M2066" t="b">
        <v>0</v>
      </c>
      <c r="N2066" t="inlineStr">
        <is>
          <t>ref</t>
        </is>
      </c>
      <c r="O2066" t="n">
        <v>-35</v>
      </c>
      <c r="P2066" t="n">
        <v>0.006897</v>
      </c>
      <c r="Q2066" t="n">
        <v>-30</v>
      </c>
      <c r="R2066" t="n">
        <v>0.0498</v>
      </c>
      <c r="S2066">
        <f>IMAGE("https://mitra.stanford.edu/kundaje/oak/projects/neuro-variants/variant_position/credible/roussos_2024/variant_figures/roussos_2024.adolescence.Astrocyte/rs1463977_count_position.png",4,220,900)</f>
        <v/>
      </c>
      <c r="T2066">
        <f>IMAGE("https://mitra.stanford.edu/kundaje/oak/projects/neuro-variants/variant_position/credible/roussos_2024/variant_figures/roussos_2024.adolescence.Astrocyte/rs1463977_profile_position.png",4,220,900)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-0.00737107174</v>
      </c>
      <c r="G2067" t="n">
        <v>0.7653677538323697</v>
      </c>
      <c r="H2067" t="n">
        <v>0.0076128219403899</v>
      </c>
      <c r="I2067" t="n">
        <v>0.9427994002399626</v>
      </c>
      <c r="J2067" t="n">
        <v>0.4761593923389609</v>
      </c>
      <c r="K2067" t="n">
        <v>0.06261536424716869</v>
      </c>
      <c r="L2067" t="b">
        <v>0</v>
      </c>
      <c r="M2067" t="b">
        <v>0</v>
      </c>
      <c r="N2067" t="inlineStr">
        <is>
          <t>ref</t>
        </is>
      </c>
      <c r="O2067" t="n">
        <v>-75</v>
      </c>
      <c r="P2067" t="n">
        <v>0.005108</v>
      </c>
      <c r="Q2067" t="n">
        <v>75</v>
      </c>
      <c r="R2067" t="n">
        <v>0.327</v>
      </c>
      <c r="S2067">
        <f>IMAGE("https://mitra.stanford.edu/kundaje/oak/projects/neuro-variants/variant_position/credible/roussos_2024/variant_figures/roussos_2024.adolescence.Astrocyte/rs34995758_count_position.png",4,220,900)</f>
        <v/>
      </c>
      <c r="T2067">
        <f>IMAGE("https://mitra.stanford.edu/kundaje/oak/projects/neuro-variants/variant_position/credible/roussos_2024/variant_figures/roussos_2024.adolescence.Astrocyte/rs34995758_profile_position.png",4,220,900)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-0.08962316200000001</v>
      </c>
      <c r="G2068" t="n">
        <v>0.1022380979179633</v>
      </c>
      <c r="H2068" t="n">
        <v>0.0150015808296806</v>
      </c>
      <c r="I2068" t="n">
        <v>0.320463584150471</v>
      </c>
      <c r="J2068" t="n">
        <v>0.2014701955315549</v>
      </c>
      <c r="K2068" t="n">
        <v>0.2023134449664274</v>
      </c>
      <c r="L2068" t="b">
        <v>0</v>
      </c>
      <c r="M2068" t="b">
        <v>0</v>
      </c>
      <c r="N2068" t="inlineStr">
        <is>
          <t>ref</t>
        </is>
      </c>
      <c r="O2068" t="n">
        <v>-85</v>
      </c>
      <c r="P2068" t="n">
        <v>0.002975</v>
      </c>
      <c r="Q2068" t="n">
        <v>30</v>
      </c>
      <c r="R2068" t="n">
        <v>0.0697</v>
      </c>
      <c r="S2068">
        <f>IMAGE("https://mitra.stanford.edu/kundaje/oak/projects/neuro-variants/variant_position/credible/roussos_2024/variant_figures/roussos_2024.adolescence.Astrocyte/rs3769126_count_position.png",4,220,900)</f>
        <v/>
      </c>
      <c r="T2068">
        <f>IMAGE("https://mitra.stanford.edu/kundaje/oak/projects/neuro-variants/variant_position/credible/roussos_2024/variant_figures/roussos_2024.adolescence.Astrocyte/rs3769126_profile_position.png",4,220,900)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0.0325050276</v>
      </c>
      <c r="G2069" t="n">
        <v>0.3357791177277482</v>
      </c>
      <c r="H2069" t="n">
        <v>0.0134414853005785</v>
      </c>
      <c r="I2069" t="n">
        <v>0.4320544477797005</v>
      </c>
      <c r="J2069" t="n">
        <v>0.0723118120048659</v>
      </c>
      <c r="K2069" t="n">
        <v>0.3896603251214127</v>
      </c>
      <c r="L2069" t="b">
        <v>0</v>
      </c>
      <c r="M2069" t="b">
        <v>0</v>
      </c>
      <c r="N2069" t="inlineStr">
        <is>
          <t>alt</t>
        </is>
      </c>
      <c r="O2069" t="n">
        <v>0</v>
      </c>
      <c r="P2069" t="n">
        <v>0</v>
      </c>
      <c r="Q2069" t="n">
        <v>0</v>
      </c>
      <c r="R2069" t="n">
        <v>0</v>
      </c>
      <c r="S2069">
        <f>IMAGE("https://mitra.stanford.edu/kundaje/oak/projects/neuro-variants/variant_position/credible/roussos_2024/variant_figures/roussos_2024.adolescence.Astrocyte/rs4665905_count_position.png",4,220,900)</f>
        <v/>
      </c>
      <c r="T2069">
        <f>IMAGE("https://mitra.stanford.edu/kundaje/oak/projects/neuro-variants/variant_position/credible/roussos_2024/variant_figures/roussos_2024.adolescence.Astrocyte/rs4665905_profile_position.png",4,220,900)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-0.0488407928</v>
      </c>
      <c r="G2070" t="n">
        <v>0.2398461258545454</v>
      </c>
      <c r="H2070" t="n">
        <v>0.0126204169406241</v>
      </c>
      <c r="I2070" t="n">
        <v>0.491551780540861</v>
      </c>
      <c r="J2070" t="n">
        <v>0.5008411714090732</v>
      </c>
      <c r="K2070" t="n">
        <v>0.0548308453279058</v>
      </c>
      <c r="L2070" t="b">
        <v>0</v>
      </c>
      <c r="M2070" t="b">
        <v>0</v>
      </c>
      <c r="N2070" t="inlineStr">
        <is>
          <t>ref</t>
        </is>
      </c>
      <c r="O2070" t="n">
        <v>-100</v>
      </c>
      <c r="P2070" t="n">
        <v>0.1185</v>
      </c>
      <c r="Q2070" t="n">
        <v>-100</v>
      </c>
      <c r="R2070" t="n">
        <v>1.236</v>
      </c>
      <c r="S2070">
        <f>IMAGE("https://mitra.stanford.edu/kundaje/oak/projects/neuro-variants/variant_position/credible/roussos_2024/variant_figures/roussos_2024.adolescence.Astrocyte/rs34736994_count_position.png",4,220,900)</f>
        <v/>
      </c>
      <c r="T2070">
        <f>IMAGE("https://mitra.stanford.edu/kundaje/oak/projects/neuro-variants/variant_position/credible/roussos_2024/variant_figures/roussos_2024.adolescence.Astrocyte/rs34736994_profile_position.png",4,220,900)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0.2528174319999999</v>
      </c>
      <c r="G2071" t="n">
        <v>0.0103611404325189</v>
      </c>
      <c r="H2071" t="n">
        <v>0.0368870758256075</v>
      </c>
      <c r="I2071" t="n">
        <v>0.0143994917341624</v>
      </c>
      <c r="J2071" t="n">
        <v>0.09344272023262019</v>
      </c>
      <c r="K2071" t="n">
        <v>0.3429371426769735</v>
      </c>
      <c r="L2071" t="b">
        <v>1</v>
      </c>
      <c r="M2071" t="b">
        <v>0</v>
      </c>
      <c r="N2071" t="inlineStr">
        <is>
          <t>alt</t>
        </is>
      </c>
      <c r="O2071" t="n">
        <v>85</v>
      </c>
      <c r="P2071" t="n">
        <v>0.003738</v>
      </c>
      <c r="Q2071" t="n">
        <v>75</v>
      </c>
      <c r="R2071" t="n">
        <v>0.03955</v>
      </c>
      <c r="S2071">
        <f>IMAGE("https://mitra.stanford.edu/kundaje/oak/projects/neuro-variants/variant_position/credible/roussos_2024/variant_figures/roussos_2024.adolescence.Astrocyte/rs2082610_count_position.png",4,220,900)</f>
        <v/>
      </c>
      <c r="T2071">
        <f>IMAGE("https://mitra.stanford.edu/kundaje/oak/projects/neuro-variants/variant_position/credible/roussos_2024/variant_figures/roussos_2024.adolescence.Astrocyte/rs2082610_profile_position.png",4,220,900)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0.1727979959999999</v>
      </c>
      <c r="G2072" t="n">
        <v>0.0251176464991616</v>
      </c>
      <c r="H2072" t="n">
        <v>0.0209999617661479</v>
      </c>
      <c r="I2072" t="n">
        <v>0.1185171801806319</v>
      </c>
      <c r="J2072" t="n">
        <v>0.2304898673708571</v>
      </c>
      <c r="K2072" t="n">
        <v>0.1840263968525234</v>
      </c>
      <c r="L2072" t="b">
        <v>0</v>
      </c>
      <c r="M2072" t="b">
        <v>0</v>
      </c>
      <c r="N2072" t="inlineStr">
        <is>
          <t>alt</t>
        </is>
      </c>
      <c r="O2072" t="n">
        <v>100</v>
      </c>
      <c r="P2072" t="n">
        <v>0.003769</v>
      </c>
      <c r="Q2072" t="n">
        <v>75</v>
      </c>
      <c r="R2072" t="n">
        <v>0.1228</v>
      </c>
      <c r="S2072">
        <f>IMAGE("https://mitra.stanford.edu/kundaje/oak/projects/neuro-variants/variant_position/credible/roussos_2024/variant_figures/roussos_2024.adolescence.Astrocyte/rs11891133_count_position.png",4,220,900)</f>
        <v/>
      </c>
      <c r="T2072">
        <f>IMAGE("https://mitra.stanford.edu/kundaje/oak/projects/neuro-variants/variant_position/credible/roussos_2024/variant_figures/roussos_2024.adolescence.Astrocyte/rs11891133_profile_position.png",4,220,900)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-0.0285675367999999</v>
      </c>
      <c r="G2073" t="n">
        <v>0.4326862518065136</v>
      </c>
      <c r="H2073" t="n">
        <v>0.0155543077150056</v>
      </c>
      <c r="I2073" t="n">
        <v>0.2917317342156207</v>
      </c>
      <c r="J2073" t="n">
        <v>0.2650364952674836</v>
      </c>
      <c r="K2073" t="n">
        <v>0.1599486883860665</v>
      </c>
      <c r="L2073" t="b">
        <v>0</v>
      </c>
      <c r="M2073" t="b">
        <v>0</v>
      </c>
      <c r="N2073" t="inlineStr">
        <is>
          <t>ref</t>
        </is>
      </c>
      <c r="O2073" t="n">
        <v>-25</v>
      </c>
      <c r="P2073" t="n">
        <v>0.004196</v>
      </c>
      <c r="Q2073" t="n">
        <v>-100</v>
      </c>
      <c r="R2073" t="n">
        <v>0.05164</v>
      </c>
      <c r="S2073">
        <f>IMAGE("https://mitra.stanford.edu/kundaje/oak/projects/neuro-variants/variant_position/credible/roussos_2024/variant_figures/roussos_2024.adolescence.Astrocyte/rs2082611_count_position.png",4,220,900)</f>
        <v/>
      </c>
      <c r="T2073">
        <f>IMAGE("https://mitra.stanford.edu/kundaje/oak/projects/neuro-variants/variant_position/credible/roussos_2024/variant_figures/roussos_2024.adolescence.Astrocyte/rs2082611_profile_position.png",4,220,900)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-0.2068294</v>
      </c>
      <c r="G2074" t="n">
        <v>0.0170148284076724</v>
      </c>
      <c r="H2074" t="n">
        <v>0.0341642040432645</v>
      </c>
      <c r="I2074" t="n">
        <v>0.0192670442142761</v>
      </c>
      <c r="J2074" t="n">
        <v>0.5035471619737114</v>
      </c>
      <c r="K2074" t="n">
        <v>0.054789930890058</v>
      </c>
      <c r="L2074" t="b">
        <v>1</v>
      </c>
      <c r="M2074" t="b">
        <v>0</v>
      </c>
      <c r="N2074" t="inlineStr">
        <is>
          <t>ref</t>
        </is>
      </c>
      <c r="O2074" t="n">
        <v>-70</v>
      </c>
      <c r="P2074" t="n">
        <v>0.2976</v>
      </c>
      <c r="Q2074" t="n">
        <v>-40</v>
      </c>
      <c r="R2074" t="n">
        <v>0.06006</v>
      </c>
      <c r="S2074">
        <f>IMAGE("https://mitra.stanford.edu/kundaje/oak/projects/neuro-variants/variant_position/credible/roussos_2024/variant_figures/roussos_2024.adolescence.Astrocyte/rs35610357_count_position.png",4,220,900)</f>
        <v/>
      </c>
      <c r="T2074">
        <f>IMAGE("https://mitra.stanford.edu/kundaje/oak/projects/neuro-variants/variant_position/credible/roussos_2024/variant_figures/roussos_2024.adolescence.Astrocyte/rs35610357_profile_position.png",4,220,900)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0.131589238</v>
      </c>
      <c r="G2075" t="n">
        <v>0.0460384312795663</v>
      </c>
      <c r="H2075" t="n">
        <v>0.0235507612172666</v>
      </c>
      <c r="I2075" t="n">
        <v>0.0816379362556984</v>
      </c>
      <c r="J2075" t="n">
        <v>0.3324273803518974</v>
      </c>
      <c r="K2075" t="n">
        <v>0.1168607271726986</v>
      </c>
      <c r="L2075" t="b">
        <v>0</v>
      </c>
      <c r="M2075" t="b">
        <v>0</v>
      </c>
      <c r="N2075" t="inlineStr">
        <is>
          <t>alt</t>
        </is>
      </c>
      <c r="O2075" t="n">
        <v>70</v>
      </c>
      <c r="P2075" t="n">
        <v>0.012375</v>
      </c>
      <c r="Q2075" t="n">
        <v>75</v>
      </c>
      <c r="R2075" t="n">
        <v>0.359</v>
      </c>
      <c r="S2075">
        <f>IMAGE("https://mitra.stanford.edu/kundaje/oak/projects/neuro-variants/variant_position/credible/roussos_2024/variant_figures/roussos_2024.adolescence.Astrocyte/rs12475388_count_position.png",4,220,900)</f>
        <v/>
      </c>
      <c r="T2075">
        <f>IMAGE("https://mitra.stanford.edu/kundaje/oak/projects/neuro-variants/variant_position/credible/roussos_2024/variant_figures/roussos_2024.adolescence.Astrocyte/rs12475388_profile_position.png",4,220,900)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-0.0530044743999999</v>
      </c>
      <c r="G2076" t="n">
        <v>0.2198955761214026</v>
      </c>
      <c r="H2076" t="n">
        <v>0.028262917256306</v>
      </c>
      <c r="I2076" t="n">
        <v>0.0398331789118484</v>
      </c>
      <c r="J2076" t="n">
        <v>0.4119262380203542</v>
      </c>
      <c r="K2076" t="n">
        <v>0.0820059590154415</v>
      </c>
      <c r="L2076" t="b">
        <v>0</v>
      </c>
      <c r="M2076" t="b">
        <v>0</v>
      </c>
      <c r="N2076" t="inlineStr">
        <is>
          <t>ref</t>
        </is>
      </c>
      <c r="O2076" t="n">
        <v>95</v>
      </c>
      <c r="P2076" t="n">
        <v>0.1414</v>
      </c>
      <c r="Q2076" t="n">
        <v>55</v>
      </c>
      <c r="R2076" t="n">
        <v>0.0708</v>
      </c>
      <c r="S2076">
        <f>IMAGE("https://mitra.stanford.edu/kundaje/oak/projects/neuro-variants/variant_position/credible/roussos_2024/variant_figures/roussos_2024.adolescence.Astrocyte/rs2196150_count_position.png",4,220,900)</f>
        <v/>
      </c>
      <c r="T2076">
        <f>IMAGE("https://mitra.stanford.edu/kundaje/oak/projects/neuro-variants/variant_position/credible/roussos_2024/variant_figures/roussos_2024.adolescence.Astrocyte/rs2196150_profile_position.png",4,220,900)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-0.022188759</v>
      </c>
      <c r="G2077" t="n">
        <v>0.5315669602581704</v>
      </c>
      <c r="H2077" t="n">
        <v>0.0340334385062221</v>
      </c>
      <c r="I2077" t="n">
        <v>0.0189293121552387</v>
      </c>
      <c r="J2077" t="n">
        <v>0.008695071655342199</v>
      </c>
      <c r="K2077" t="n">
        <v>0.6731136606814405</v>
      </c>
      <c r="L2077" t="b">
        <v>0</v>
      </c>
      <c r="M2077" t="b">
        <v>0</v>
      </c>
      <c r="N2077" t="inlineStr">
        <is>
          <t>ref</t>
        </is>
      </c>
      <c r="O2077" t="n">
        <v>-30</v>
      </c>
      <c r="P2077" t="n">
        <v>0.003212</v>
      </c>
      <c r="Q2077" t="n">
        <v>5</v>
      </c>
      <c r="R2077" t="n">
        <v>0.002563</v>
      </c>
      <c r="S2077">
        <f>IMAGE("https://mitra.stanford.edu/kundaje/oak/projects/neuro-variants/variant_position/credible/roussos_2024/variant_figures/roussos_2024.adolescence.Astrocyte/rs1368889_count_position.png",4,220,900)</f>
        <v/>
      </c>
      <c r="T2077">
        <f>IMAGE("https://mitra.stanford.edu/kundaje/oak/projects/neuro-variants/variant_position/credible/roussos_2024/variant_figures/roussos_2024.adolescence.Astrocyte/rs1368889_profile_position.png",4,220,900)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-0.043278577</v>
      </c>
      <c r="G2078" t="n">
        <v>0.2950347762483968</v>
      </c>
      <c r="H2078" t="n">
        <v>0.0090151756002527</v>
      </c>
      <c r="I2078" t="n">
        <v>0.8371196841999682</v>
      </c>
      <c r="J2078" t="n">
        <v>0.0190220455152359</v>
      </c>
      <c r="K2078" t="n">
        <v>0.5888982390630749</v>
      </c>
      <c r="L2078" t="b">
        <v>0</v>
      </c>
      <c r="M2078" t="b">
        <v>0</v>
      </c>
      <c r="N2078" t="inlineStr">
        <is>
          <t>ref</t>
        </is>
      </c>
      <c r="O2078" t="n">
        <v>85</v>
      </c>
      <c r="P2078" t="n">
        <v>0.0055</v>
      </c>
      <c r="Q2078" t="n">
        <v>-100</v>
      </c>
      <c r="R2078" t="n">
        <v>0.1195</v>
      </c>
      <c r="S2078">
        <f>IMAGE("https://mitra.stanford.edu/kundaje/oak/projects/neuro-variants/variant_position/credible/roussos_2024/variant_figures/roussos_2024.adolescence.Astrocyte/rs4665386_count_position.png",4,220,900)</f>
        <v/>
      </c>
      <c r="T2078">
        <f>IMAGE("https://mitra.stanford.edu/kundaje/oak/projects/neuro-variants/variant_position/credible/roussos_2024/variant_figures/roussos_2024.adolescence.Astrocyte/rs4665386_profile_position.png",4,220,900)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-0.0631660281999999</v>
      </c>
      <c r="G2079" t="n">
        <v>0.1707425743766011</v>
      </c>
      <c r="H2079" t="n">
        <v>0.0170790037484356</v>
      </c>
      <c r="I2079" t="n">
        <v>0.2223895491228313</v>
      </c>
      <c r="J2079" t="n">
        <v>0.0717502892917543</v>
      </c>
      <c r="K2079" t="n">
        <v>0.3806783396612184</v>
      </c>
      <c r="L2079" t="b">
        <v>0</v>
      </c>
      <c r="M2079" t="b">
        <v>0</v>
      </c>
      <c r="N2079" t="inlineStr">
        <is>
          <t>ref</t>
        </is>
      </c>
      <c r="O2079" t="n">
        <v>25</v>
      </c>
      <c r="P2079" t="n">
        <v>0.010864</v>
      </c>
      <c r="Q2079" t="n">
        <v>-65</v>
      </c>
      <c r="R2079" t="n">
        <v>0.1399</v>
      </c>
      <c r="S2079">
        <f>IMAGE("https://mitra.stanford.edu/kundaje/oak/projects/neuro-variants/variant_position/credible/roussos_2024/variant_figures/roussos_2024.adolescence.Astrocyte/rs4666013_count_position.png",4,220,900)</f>
        <v/>
      </c>
      <c r="T2079">
        <f>IMAGE("https://mitra.stanford.edu/kundaje/oak/projects/neuro-variants/variant_position/credible/roussos_2024/variant_figures/roussos_2024.adolescence.Astrocyte/rs4666013_profile_position.png",4,220,900)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-0.00766735586</v>
      </c>
      <c r="G2080" t="n">
        <v>0.6860337686686748</v>
      </c>
      <c r="H2080" t="n">
        <v>0.0080448817681974</v>
      </c>
      <c r="I2080" t="n">
        <v>0.8982192773930623</v>
      </c>
      <c r="J2080" t="n">
        <v>0.0595021214728658</v>
      </c>
      <c r="K2080" t="n">
        <v>0.4101486628936332</v>
      </c>
      <c r="L2080" t="b">
        <v>0</v>
      </c>
      <c r="M2080" t="b">
        <v>0</v>
      </c>
      <c r="N2080" t="inlineStr">
        <is>
          <t>ref</t>
        </is>
      </c>
      <c r="O2080" t="n">
        <v>-85</v>
      </c>
      <c r="P2080" t="n">
        <v>0.002525</v>
      </c>
      <c r="Q2080" t="n">
        <v>75</v>
      </c>
      <c r="R2080" t="n">
        <v>0.07969999999999999</v>
      </c>
      <c r="S2080">
        <f>IMAGE("https://mitra.stanford.edu/kundaje/oak/projects/neuro-variants/variant_position/credible/roussos_2024/variant_figures/roussos_2024.adolescence.Astrocyte/rs4666015_count_position.png",4,220,900)</f>
        <v/>
      </c>
      <c r="T2080">
        <f>IMAGE("https://mitra.stanford.edu/kundaje/oak/projects/neuro-variants/variant_position/credible/roussos_2024/variant_figures/roussos_2024.adolescence.Astrocyte/rs4666015_profile_position.png",4,220,900)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-0.0954785668</v>
      </c>
      <c r="G2081" t="n">
        <v>0.0953052954891211</v>
      </c>
      <c r="H2081" t="n">
        <v>0.0193008044243986</v>
      </c>
      <c r="I2081" t="n">
        <v>0.1611219454224026</v>
      </c>
      <c r="J2081" t="n">
        <v>0.4343648933329376</v>
      </c>
      <c r="K2081" t="n">
        <v>0.0751656008983965</v>
      </c>
      <c r="L2081" t="b">
        <v>0</v>
      </c>
      <c r="M2081" t="b">
        <v>0</v>
      </c>
      <c r="N2081" t="inlineStr">
        <is>
          <t>ref</t>
        </is>
      </c>
      <c r="O2081" t="n">
        <v>-70</v>
      </c>
      <c r="P2081" t="n">
        <v>0.01602</v>
      </c>
      <c r="Q2081" t="n">
        <v>45</v>
      </c>
      <c r="R2081" t="n">
        <v>0.09814000000000001</v>
      </c>
      <c r="S2081">
        <f>IMAGE("https://mitra.stanford.edu/kundaje/oak/projects/neuro-variants/variant_position/credible/roussos_2024/variant_figures/roussos_2024.adolescence.Astrocyte/rs7570730_count_position.png",4,220,900)</f>
        <v/>
      </c>
      <c r="T2081">
        <f>IMAGE("https://mitra.stanford.edu/kundaje/oak/projects/neuro-variants/variant_position/credible/roussos_2024/variant_figures/roussos_2024.adolescence.Astrocyte/rs7570730_profile_position.png",4,220,900)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-0.293288614</v>
      </c>
      <c r="G2082" t="n">
        <v>0.0076678076257083</v>
      </c>
      <c r="H2082" t="n">
        <v>0.0286502457424385</v>
      </c>
      <c r="I2082" t="n">
        <v>0.0381168385145123</v>
      </c>
      <c r="J2082" t="n">
        <v>0.1506987508530397</v>
      </c>
      <c r="K2082" t="n">
        <v>0.252278826600995</v>
      </c>
      <c r="L2082" t="b">
        <v>1</v>
      </c>
      <c r="M2082" t="b">
        <v>1</v>
      </c>
      <c r="N2082" t="inlineStr">
        <is>
          <t>ref</t>
        </is>
      </c>
      <c r="O2082" t="n">
        <v>-75</v>
      </c>
      <c r="P2082" t="n">
        <v>0.05148</v>
      </c>
      <c r="Q2082" t="n">
        <v>-75</v>
      </c>
      <c r="R2082" t="n">
        <v>0.1472</v>
      </c>
      <c r="S2082">
        <f>IMAGE("https://mitra.stanford.edu/kundaje/oak/projects/neuro-variants/variant_position/credible/roussos_2024/variant_figures/roussos_2024.adolescence.Astrocyte/rs11891769_count_position.png",4,220,900)</f>
        <v/>
      </c>
      <c r="T2082">
        <f>IMAGE("https://mitra.stanford.edu/kundaje/oak/projects/neuro-variants/variant_position/credible/roussos_2024/variant_figures/roussos_2024.adolescence.Astrocyte/rs11891769_profile_position.png",4,220,900)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-0.0948266328</v>
      </c>
      <c r="G2083" t="n">
        <v>0.1063329131342623</v>
      </c>
      <c r="H2083" t="n">
        <v>0.0221607533692871</v>
      </c>
      <c r="I2083" t="n">
        <v>0.1001444702234822</v>
      </c>
      <c r="J2083" t="n">
        <v>0.1640796071566329</v>
      </c>
      <c r="K2083" t="n">
        <v>0.2380398966027049</v>
      </c>
      <c r="L2083" t="b">
        <v>0</v>
      </c>
      <c r="M2083" t="b">
        <v>0</v>
      </c>
      <c r="N2083" t="inlineStr">
        <is>
          <t>ref</t>
        </is>
      </c>
      <c r="O2083" t="n">
        <v>85</v>
      </c>
      <c r="P2083" t="n">
        <v>0.003754</v>
      </c>
      <c r="Q2083" t="n">
        <v>-10</v>
      </c>
      <c r="R2083" t="n">
        <v>0.09717000000000001</v>
      </c>
      <c r="S2083">
        <f>IMAGE("https://mitra.stanford.edu/kundaje/oak/projects/neuro-variants/variant_position/credible/roussos_2024/variant_figures/roussos_2024.adolescence.Astrocyte/rs12986980_count_position.png",4,220,900)</f>
        <v/>
      </c>
      <c r="T2083">
        <f>IMAGE("https://mitra.stanford.edu/kundaje/oak/projects/neuro-variants/variant_position/credible/roussos_2024/variant_figures/roussos_2024.adolescence.Astrocyte/rs12986980_profile_position.png",4,220,900)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-0.0821266794</v>
      </c>
      <c r="G2084" t="n">
        <v>0.08008648733926831</v>
      </c>
      <c r="H2084" t="n">
        <v>0.0165029269931297</v>
      </c>
      <c r="I2084" t="n">
        <v>0.2562668226045005</v>
      </c>
      <c r="J2084" t="n">
        <v>0.1212154704328991</v>
      </c>
      <c r="K2084" t="n">
        <v>0.2951004286283976</v>
      </c>
      <c r="L2084" t="b">
        <v>0</v>
      </c>
      <c r="M2084" t="b">
        <v>0</v>
      </c>
      <c r="N2084" t="inlineStr">
        <is>
          <t>ref</t>
        </is>
      </c>
      <c r="O2084" t="n">
        <v>-100</v>
      </c>
      <c r="P2084" t="n">
        <v>0.00547</v>
      </c>
      <c r="Q2084" t="n">
        <v>-100</v>
      </c>
      <c r="R2084" t="n">
        <v>0.0801</v>
      </c>
      <c r="S2084">
        <f>IMAGE("https://mitra.stanford.edu/kundaje/oak/projects/neuro-variants/variant_position/credible/roussos_2024/variant_figures/roussos_2024.adolescence.Astrocyte/rs4233716_count_position.png",4,220,900)</f>
        <v/>
      </c>
      <c r="T2084">
        <f>IMAGE("https://mitra.stanford.edu/kundaje/oak/projects/neuro-variants/variant_position/credible/roussos_2024/variant_figures/roussos_2024.adolescence.Astrocyte/rs4233716_profile_position.png",4,220,900)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-0.1130270519999999</v>
      </c>
      <c r="G2085" t="n">
        <v>0.0657866012619886</v>
      </c>
      <c r="H2085" t="n">
        <v>0.011107169934612</v>
      </c>
      <c r="I2085" t="n">
        <v>0.6124649856847951</v>
      </c>
      <c r="J2085" t="n">
        <v>0.0407241195145832</v>
      </c>
      <c r="K2085" t="n">
        <v>0.4857826391741191</v>
      </c>
      <c r="L2085" t="b">
        <v>0</v>
      </c>
      <c r="M2085" t="b">
        <v>0</v>
      </c>
      <c r="N2085" t="inlineStr">
        <is>
          <t>ref</t>
        </is>
      </c>
      <c r="O2085" t="n">
        <v>65</v>
      </c>
      <c r="P2085" t="n">
        <v>0.010025</v>
      </c>
      <c r="Q2085" t="n">
        <v>-60</v>
      </c>
      <c r="R2085" t="n">
        <v>0.0548</v>
      </c>
      <c r="S2085">
        <f>IMAGE("https://mitra.stanford.edu/kundaje/oak/projects/neuro-variants/variant_position/credible/roussos_2024/variant_figures/roussos_2024.adolescence.Astrocyte/rs12617171_count_position.png",4,220,900)</f>
        <v/>
      </c>
      <c r="T2085">
        <f>IMAGE("https://mitra.stanford.edu/kundaje/oak/projects/neuro-variants/variant_position/credible/roussos_2024/variant_figures/roussos_2024.adolescence.Astrocyte/rs12617171_profile_position.png",4,220,900)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-0.01116537426</v>
      </c>
      <c r="G2086" t="n">
        <v>0.6883720446138268</v>
      </c>
      <c r="H2086" t="n">
        <v>0.0110248201428153</v>
      </c>
      <c r="I2086" t="n">
        <v>0.6530232323700467</v>
      </c>
      <c r="J2086" t="n">
        <v>0.0106414859211345</v>
      </c>
      <c r="K2086" t="n">
        <v>0.663169987937684</v>
      </c>
      <c r="L2086" t="b">
        <v>0</v>
      </c>
      <c r="M2086" t="b">
        <v>0</v>
      </c>
      <c r="N2086" t="inlineStr">
        <is>
          <t>ref</t>
        </is>
      </c>
      <c r="O2086" t="n">
        <v>-15</v>
      </c>
      <c r="P2086" t="n">
        <v>0.002197</v>
      </c>
      <c r="Q2086" t="n">
        <v>-50</v>
      </c>
      <c r="R2086" t="n">
        <v>0.01624</v>
      </c>
      <c r="S2086">
        <f>IMAGE("https://mitra.stanford.edu/kundaje/oak/projects/neuro-variants/variant_position/credible/roussos_2024/variant_figures/roussos_2024.adolescence.Astrocyte/rs12464988_count_position.png",4,220,900)</f>
        <v/>
      </c>
      <c r="T2086">
        <f>IMAGE("https://mitra.stanford.edu/kundaje/oak/projects/neuro-variants/variant_position/credible/roussos_2024/variant_figures/roussos_2024.adolescence.Astrocyte/rs12464988_profile_position.png",4,220,900)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-0.01714773482</v>
      </c>
      <c r="G2087" t="n">
        <v>0.6144689322313931</v>
      </c>
      <c r="H2087" t="n">
        <v>0.0178121704076233</v>
      </c>
      <c r="I2087" t="n">
        <v>0.1966900642641443</v>
      </c>
      <c r="J2087" t="n">
        <v>0.007100999910987</v>
      </c>
      <c r="K2087" t="n">
        <v>0.7092976434988725</v>
      </c>
      <c r="L2087" t="b">
        <v>0</v>
      </c>
      <c r="M2087" t="b">
        <v>0</v>
      </c>
      <c r="N2087" t="inlineStr">
        <is>
          <t>ref</t>
        </is>
      </c>
      <c r="O2087" t="n">
        <v>-25</v>
      </c>
      <c r="P2087" t="n">
        <v>0.001663</v>
      </c>
      <c r="Q2087" t="n">
        <v>100</v>
      </c>
      <c r="R2087" t="n">
        <v>0.07385</v>
      </c>
      <c r="S2087">
        <f>IMAGE("https://mitra.stanford.edu/kundaje/oak/projects/neuro-variants/variant_position/credible/roussos_2024/variant_figures/roussos_2024.adolescence.Astrocyte/rs4233719_count_position.png",4,220,900)</f>
        <v/>
      </c>
      <c r="T2087">
        <f>IMAGE("https://mitra.stanford.edu/kundaje/oak/projects/neuro-variants/variant_position/credible/roussos_2024/variant_figures/roussos_2024.adolescence.Astrocyte/rs4233719_profile_position.png",4,220,900)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0.01308697408</v>
      </c>
      <c r="G2088" t="n">
        <v>0.6320837816508903</v>
      </c>
      <c r="H2088" t="n">
        <v>0.0107796561549416</v>
      </c>
      <c r="I2088" t="n">
        <v>0.6754767741566936</v>
      </c>
      <c r="J2088" t="n">
        <v>0.0088790315402189</v>
      </c>
      <c r="K2088" t="n">
        <v>0.6717829813372843</v>
      </c>
      <c r="L2088" t="b">
        <v>0</v>
      </c>
      <c r="M2088" t="b">
        <v>0</v>
      </c>
      <c r="N2088" t="inlineStr">
        <is>
          <t>alt</t>
        </is>
      </c>
      <c r="O2088" t="n">
        <v>-95</v>
      </c>
      <c r="P2088" t="n">
        <v>0.01079</v>
      </c>
      <c r="Q2088" t="n">
        <v>-100</v>
      </c>
      <c r="R2088" t="n">
        <v>0.05548</v>
      </c>
      <c r="S2088">
        <f>IMAGE("https://mitra.stanford.edu/kundaje/oak/projects/neuro-variants/variant_position/credible/roussos_2024/variant_figures/roussos_2024.adolescence.Astrocyte/rs12466717_count_position.png",4,220,900)</f>
        <v/>
      </c>
      <c r="T2088">
        <f>IMAGE("https://mitra.stanford.edu/kundaje/oak/projects/neuro-variants/variant_position/credible/roussos_2024/variant_figures/roussos_2024.adolescence.Astrocyte/rs12466717_profile_position.png",4,220,900)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-0.0286059942</v>
      </c>
      <c r="G2089" t="n">
        <v>0.4250990968970048</v>
      </c>
      <c r="H2089" t="n">
        <v>0.0102539381569962</v>
      </c>
      <c r="I2089" t="n">
        <v>0.7355850923042271</v>
      </c>
      <c r="J2089" t="n">
        <v>0.0068962703616888</v>
      </c>
      <c r="K2089" t="n">
        <v>0.7188303161702532</v>
      </c>
      <c r="L2089" t="b">
        <v>0</v>
      </c>
      <c r="M2089" t="b">
        <v>0</v>
      </c>
      <c r="N2089" t="inlineStr">
        <is>
          <t>ref</t>
        </is>
      </c>
      <c r="O2089" t="n">
        <v>-85</v>
      </c>
      <c r="P2089" t="n">
        <v>0.0125</v>
      </c>
      <c r="Q2089" t="n">
        <v>-85</v>
      </c>
      <c r="R2089" t="n">
        <v>0.2297</v>
      </c>
      <c r="S2089">
        <f>IMAGE("https://mitra.stanford.edu/kundaje/oak/projects/neuro-variants/variant_position/credible/roussos_2024/variant_figures/roussos_2024.adolescence.Astrocyte/rs6547814_count_position.png",4,220,900)</f>
        <v/>
      </c>
      <c r="T2089">
        <f>IMAGE("https://mitra.stanford.edu/kundaje/oak/projects/neuro-variants/variant_position/credible/roussos_2024/variant_figures/roussos_2024.adolescence.Astrocyte/rs6547814_profile_position.png",4,220,900)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-0.1210185187999999</v>
      </c>
      <c r="G2090" t="n">
        <v>0.0652566597832019</v>
      </c>
      <c r="H2090" t="n">
        <v>0.0233330583155271</v>
      </c>
      <c r="I2090" t="n">
        <v>0.084492453471312</v>
      </c>
      <c r="J2090" t="n">
        <v>0.0385551731299883</v>
      </c>
      <c r="K2090" t="n">
        <v>0.4731999164681761</v>
      </c>
      <c r="L2090" t="b">
        <v>0</v>
      </c>
      <c r="M2090" t="b">
        <v>0</v>
      </c>
      <c r="N2090" t="inlineStr">
        <is>
          <t>ref</t>
        </is>
      </c>
      <c r="O2090" t="n">
        <v>-55</v>
      </c>
      <c r="P2090" t="n">
        <v>0.001484</v>
      </c>
      <c r="Q2090" t="n">
        <v>95</v>
      </c>
      <c r="R2090" t="n">
        <v>0.02985</v>
      </c>
      <c r="S2090">
        <f>IMAGE("https://mitra.stanford.edu/kundaje/oak/projects/neuro-variants/variant_position/credible/roussos_2024/variant_figures/roussos_2024.adolescence.Astrocyte/rs10177845_count_position.png",4,220,900)</f>
        <v/>
      </c>
      <c r="T2090">
        <f>IMAGE("https://mitra.stanford.edu/kundaje/oak/projects/neuro-variants/variant_position/credible/roussos_2024/variant_figures/roussos_2024.adolescence.Astrocyte/rs10177845_profile_position.png",4,220,900)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0.01173032326</v>
      </c>
      <c r="G2091" t="n">
        <v>0.703788895730049</v>
      </c>
      <c r="H2091" t="n">
        <v>0.029014797794619</v>
      </c>
      <c r="I2091" t="n">
        <v>0.0358987238835614</v>
      </c>
      <c r="J2091" t="n">
        <v>0.0011289796160578</v>
      </c>
      <c r="K2091" t="n">
        <v>0.864261408706988</v>
      </c>
      <c r="L2091" t="b">
        <v>0</v>
      </c>
      <c r="M2091" t="b">
        <v>0</v>
      </c>
      <c r="N2091" t="inlineStr">
        <is>
          <t>alt</t>
        </is>
      </c>
      <c r="O2091" t="n">
        <v>50</v>
      </c>
      <c r="P2091" t="n">
        <v>0.00319</v>
      </c>
      <c r="Q2091" t="n">
        <v>-30</v>
      </c>
      <c r="R2091" t="n">
        <v>0.11096</v>
      </c>
      <c r="S2091">
        <f>IMAGE("https://mitra.stanford.edu/kundaje/oak/projects/neuro-variants/variant_position/credible/roussos_2024/variant_figures/roussos_2024.adolescence.Astrocyte/rs1458396_count_position.png",4,220,900)</f>
        <v/>
      </c>
      <c r="T2091">
        <f>IMAGE("https://mitra.stanford.edu/kundaje/oak/projects/neuro-variants/variant_position/credible/roussos_2024/variant_figures/roussos_2024.adolescence.Astrocyte/rs1458396_profile_position.png",4,220,900)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-0.0377770894</v>
      </c>
      <c r="G2092" t="n">
        <v>0.3436066312472987</v>
      </c>
      <c r="H2092" t="n">
        <v>0.0573874780416064</v>
      </c>
      <c r="I2092" t="n">
        <v>0.0023459897874506</v>
      </c>
      <c r="J2092" t="n">
        <v>0.0011312049372458</v>
      </c>
      <c r="K2092" t="n">
        <v>0.8630888316499498</v>
      </c>
      <c r="L2092" t="b">
        <v>0</v>
      </c>
      <c r="M2092" t="b">
        <v>0</v>
      </c>
      <c r="N2092" t="inlineStr">
        <is>
          <t>ref</t>
        </is>
      </c>
      <c r="O2092" t="n">
        <v>-30</v>
      </c>
      <c r="P2092" t="n">
        <v>0.003052</v>
      </c>
      <c r="Q2092" t="n">
        <v>100</v>
      </c>
      <c r="R2092" t="n">
        <v>0.1042</v>
      </c>
      <c r="S2092">
        <f>IMAGE("https://mitra.stanford.edu/kundaje/oak/projects/neuro-variants/variant_position/credible/roussos_2024/variant_figures/roussos_2024.adolescence.Astrocyte/rs13012050_count_position.png",4,220,900)</f>
        <v/>
      </c>
      <c r="T2092">
        <f>IMAGE("https://mitra.stanford.edu/kundaje/oak/projects/neuro-variants/variant_position/credible/roussos_2024/variant_figures/roussos_2024.adolescence.Astrocyte/rs13012050_profile_position.png",4,220,900)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0.07705807219999999</v>
      </c>
      <c r="G2093" t="n">
        <v>0.1196243640344469</v>
      </c>
      <c r="H2093" t="n">
        <v>0.010950589445653</v>
      </c>
      <c r="I2093" t="n">
        <v>0.6563444803708545</v>
      </c>
      <c r="J2093" t="n">
        <v>5.860012461798654e-05</v>
      </c>
      <c r="K2093" t="n">
        <v>0.990273182852256</v>
      </c>
      <c r="L2093" t="b">
        <v>0</v>
      </c>
      <c r="M2093" t="b">
        <v>0</v>
      </c>
      <c r="N2093" t="inlineStr">
        <is>
          <t>alt</t>
        </is>
      </c>
      <c r="O2093" t="n">
        <v>100</v>
      </c>
      <c r="P2093" t="n">
        <v>0.1064</v>
      </c>
      <c r="Q2093" t="n">
        <v>100</v>
      </c>
      <c r="R2093" t="n">
        <v>0.10406</v>
      </c>
      <c r="S2093">
        <f>IMAGE("https://mitra.stanford.edu/kundaje/oak/projects/neuro-variants/variant_position/credible/roussos_2024/variant_figures/roussos_2024.adolescence.Astrocyte/rs10184052_count_position.png",4,220,900)</f>
        <v/>
      </c>
      <c r="T2093">
        <f>IMAGE("https://mitra.stanford.edu/kundaje/oak/projects/neuro-variants/variant_position/credible/roussos_2024/variant_figures/roussos_2024.adolescence.Astrocyte/rs10184052_profile_position.png",4,220,900)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-0.0051170444</v>
      </c>
      <c r="G2094" t="n">
        <v>0.8238783242240844</v>
      </c>
      <c r="H2094" t="n">
        <v>0.0067842500209625</v>
      </c>
      <c r="I2094" t="n">
        <v>0.972370706284412</v>
      </c>
      <c r="J2094" t="n">
        <v>0.0009183158769248</v>
      </c>
      <c r="K2094" t="n">
        <v>0.8993239736096474</v>
      </c>
      <c r="L2094" t="b">
        <v>0</v>
      </c>
      <c r="M2094" t="b">
        <v>0</v>
      </c>
      <c r="N2094" t="inlineStr">
        <is>
          <t>ref</t>
        </is>
      </c>
      <c r="O2094" t="n">
        <v>-95</v>
      </c>
      <c r="P2094" t="n">
        <v>0.003216</v>
      </c>
      <c r="Q2094" t="n">
        <v>-35</v>
      </c>
      <c r="R2094" t="n">
        <v>0.05933</v>
      </c>
      <c r="S2094">
        <f>IMAGE("https://mitra.stanford.edu/kundaje/oak/projects/neuro-variants/variant_position/credible/roussos_2024/variant_figures/roussos_2024.adolescence.Astrocyte/rs4616436_count_position.png",4,220,900)</f>
        <v/>
      </c>
      <c r="T2094">
        <f>IMAGE("https://mitra.stanford.edu/kundaje/oak/projects/neuro-variants/variant_position/credible/roussos_2024/variant_figures/roussos_2024.adolescence.Astrocyte/rs4616436_profile_position.png",4,220,900)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-0.0459890272</v>
      </c>
      <c r="G2095" t="n">
        <v>0.2722542329936925</v>
      </c>
      <c r="H2095" t="n">
        <v>0.0110317688281042</v>
      </c>
      <c r="I2095" t="n">
        <v>0.6522591748682502</v>
      </c>
      <c r="J2095" t="n">
        <v>0.00353751891523</v>
      </c>
      <c r="K2095" t="n">
        <v>0.7798544360862468</v>
      </c>
      <c r="L2095" t="b">
        <v>0</v>
      </c>
      <c r="M2095" t="b">
        <v>0</v>
      </c>
      <c r="N2095" t="inlineStr">
        <is>
          <t>ref</t>
        </is>
      </c>
      <c r="O2095" t="n">
        <v>-95</v>
      </c>
      <c r="P2095" t="n">
        <v>0.008606000000000001</v>
      </c>
      <c r="Q2095" t="n">
        <v>-40</v>
      </c>
      <c r="R2095" t="n">
        <v>0.0437</v>
      </c>
      <c r="S2095">
        <f>IMAGE("https://mitra.stanford.edu/kundaje/oak/projects/neuro-variants/variant_position/credible/roussos_2024/variant_figures/roussos_2024.adolescence.Astrocyte/rs6712162_count_position.png",4,220,900)</f>
        <v/>
      </c>
      <c r="T2095">
        <f>IMAGE("https://mitra.stanford.edu/kundaje/oak/projects/neuro-variants/variant_position/credible/roussos_2024/variant_figures/roussos_2024.adolescence.Astrocyte/rs6712162_profile_position.png",4,220,900)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-0.1916714754</v>
      </c>
      <c r="G2096" t="n">
        <v>0.0176774484638083</v>
      </c>
      <c r="H2096" t="n">
        <v>0.0463247151530256</v>
      </c>
      <c r="I2096" t="n">
        <v>0.0067835837349855</v>
      </c>
      <c r="J2096" t="n">
        <v>0.1233621636056136</v>
      </c>
      <c r="K2096" t="n">
        <v>0.2924619562499734</v>
      </c>
      <c r="L2096" t="b">
        <v>1</v>
      </c>
      <c r="M2096" t="b">
        <v>1</v>
      </c>
      <c r="N2096" t="inlineStr">
        <is>
          <t>ref</t>
        </is>
      </c>
      <c r="O2096" t="n">
        <v>100</v>
      </c>
      <c r="P2096" t="n">
        <v>0.00891</v>
      </c>
      <c r="Q2096" t="n">
        <v>100</v>
      </c>
      <c r="R2096" t="n">
        <v>0.1724</v>
      </c>
      <c r="S2096">
        <f>IMAGE("https://mitra.stanford.edu/kundaje/oak/projects/neuro-variants/variant_position/credible/roussos_2024/variant_figures/roussos_2024.adolescence.Astrocyte/rs1123648_count_position.png",4,220,900)</f>
        <v/>
      </c>
      <c r="T2096">
        <f>IMAGE("https://mitra.stanford.edu/kundaje/oak/projects/neuro-variants/variant_position/credible/roussos_2024/variant_figures/roussos_2024.adolescence.Astrocyte/rs1123648_profile_position.png",4,220,900)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-0.0315166215</v>
      </c>
      <c r="G2097" t="n">
        <v>0.4025351289035864</v>
      </c>
      <c r="H2097" t="n">
        <v>0.0100917899086132</v>
      </c>
      <c r="I2097" t="n">
        <v>0.7391712011008719</v>
      </c>
      <c r="J2097" t="n">
        <v>0.0032689968252084</v>
      </c>
      <c r="K2097" t="n">
        <v>0.7777160827964351</v>
      </c>
      <c r="L2097" t="b">
        <v>0</v>
      </c>
      <c r="M2097" t="b">
        <v>0</v>
      </c>
      <c r="N2097" t="inlineStr">
        <is>
          <t>ref</t>
        </is>
      </c>
      <c r="O2097" t="n">
        <v>70</v>
      </c>
      <c r="P2097" t="n">
        <v>0.00428</v>
      </c>
      <c r="Q2097" t="n">
        <v>-30</v>
      </c>
      <c r="R2097" t="n">
        <v>0.04446</v>
      </c>
      <c r="S2097">
        <f>IMAGE("https://mitra.stanford.edu/kundaje/oak/projects/neuro-variants/variant_position/credible/roussos_2024/variant_figures/roussos_2024.adolescence.Astrocyte/rs6753260_count_position.png",4,220,900)</f>
        <v/>
      </c>
      <c r="T2097">
        <f>IMAGE("https://mitra.stanford.edu/kundaje/oak/projects/neuro-variants/variant_position/credible/roussos_2024/variant_figures/roussos_2024.adolescence.Astrocyte/rs6753260_profile_position.png",4,220,900)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-0.0084383519539999</v>
      </c>
      <c r="G2098" t="n">
        <v>0.7328527998396583</v>
      </c>
      <c r="H2098" t="n">
        <v>0.0321296443963752</v>
      </c>
      <c r="I2098" t="n">
        <v>0.0237464208107041</v>
      </c>
      <c r="J2098" t="n">
        <v>0.2579236269768269</v>
      </c>
      <c r="K2098" t="n">
        <v>0.1587950513354118</v>
      </c>
      <c r="L2098" t="b">
        <v>0</v>
      </c>
      <c r="M2098" t="b">
        <v>0</v>
      </c>
      <c r="N2098" t="inlineStr">
        <is>
          <t>ref</t>
        </is>
      </c>
      <c r="O2098" t="n">
        <v>-70</v>
      </c>
      <c r="P2098" t="n">
        <v>0.01611</v>
      </c>
      <c r="Q2098" t="n">
        <v>-70</v>
      </c>
      <c r="R2098" t="n">
        <v>0.2104</v>
      </c>
      <c r="S2098">
        <f>IMAGE("https://mitra.stanford.edu/kundaje/oak/projects/neuro-variants/variant_position/credible/roussos_2024/variant_figures/roussos_2024.adolescence.Astrocyte/rs17020136_count_position.png",4,220,900)</f>
        <v/>
      </c>
      <c r="T2098">
        <f>IMAGE("https://mitra.stanford.edu/kundaje/oak/projects/neuro-variants/variant_position/credible/roussos_2024/variant_figures/roussos_2024.adolescence.Astrocyte/rs17020136_profile_position.png",4,220,900)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-0.147401649</v>
      </c>
      <c r="G2099" t="n">
        <v>0.0377353978048939</v>
      </c>
      <c r="H2099" t="n">
        <v>0.0339744027430793</v>
      </c>
      <c r="I2099" t="n">
        <v>0.0198636514620667</v>
      </c>
      <c r="J2099" t="n">
        <v>0.011306856956354</v>
      </c>
      <c r="K2099" t="n">
        <v>0.6814046846066146</v>
      </c>
      <c r="L2099" t="b">
        <v>1</v>
      </c>
      <c r="M2099" t="b">
        <v>0</v>
      </c>
      <c r="N2099" t="inlineStr">
        <is>
          <t>ref</t>
        </is>
      </c>
      <c r="O2099" t="n">
        <v>-75</v>
      </c>
      <c r="P2099" t="n">
        <v>0.02518</v>
      </c>
      <c r="Q2099" t="n">
        <v>-90</v>
      </c>
      <c r="R2099" t="n">
        <v>0.1231</v>
      </c>
      <c r="S2099">
        <f>IMAGE("https://mitra.stanford.edu/kundaje/oak/projects/neuro-variants/variant_position/credible/roussos_2024/variant_figures/roussos_2024.adolescence.Astrocyte/rs28463756_count_position.png",4,220,900)</f>
        <v/>
      </c>
      <c r="T2099">
        <f>IMAGE("https://mitra.stanford.edu/kundaje/oak/projects/neuro-variants/variant_position/credible/roussos_2024/variant_figures/roussos_2024.adolescence.Astrocyte/rs28463756_profile_position.png",4,220,900)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0.00550539754</v>
      </c>
      <c r="G2100" t="n">
        <v>0.6496139010246166</v>
      </c>
      <c r="H2100" t="n">
        <v>0.009659634906793901</v>
      </c>
      <c r="I2100" t="n">
        <v>0.7953851599251022</v>
      </c>
      <c r="J2100" t="n">
        <v>0.0487946176898198</v>
      </c>
      <c r="K2100" t="n">
        <v>0.4499426397907855</v>
      </c>
      <c r="L2100" t="b">
        <v>0</v>
      </c>
      <c r="M2100" t="b">
        <v>0</v>
      </c>
      <c r="N2100" t="inlineStr">
        <is>
          <t>alt</t>
        </is>
      </c>
      <c r="O2100" t="n">
        <v>95</v>
      </c>
      <c r="P2100" t="n">
        <v>0.0329</v>
      </c>
      <c r="Q2100" t="n">
        <v>100</v>
      </c>
      <c r="R2100" t="n">
        <v>0.3787</v>
      </c>
      <c r="S2100">
        <f>IMAGE("https://mitra.stanford.edu/kundaje/oak/projects/neuro-variants/variant_position/credible/roussos_2024/variant_figures/roussos_2024.adolescence.Astrocyte/rs4374352_count_position.png",4,220,900)</f>
        <v/>
      </c>
      <c r="T2100">
        <f>IMAGE("https://mitra.stanford.edu/kundaje/oak/projects/neuro-variants/variant_position/credible/roussos_2024/variant_figures/roussos_2024.adolescence.Astrocyte/rs4374352_profile_position.png",4,220,900)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-0.0656859276</v>
      </c>
      <c r="G2101" t="n">
        <v>0.1645082479231669</v>
      </c>
      <c r="H2101" t="n">
        <v>0.014018512303334</v>
      </c>
      <c r="I2101" t="n">
        <v>0.384734968810608</v>
      </c>
      <c r="J2101" t="n">
        <v>0.0350985075512565</v>
      </c>
      <c r="K2101" t="n">
        <v>0.491583082966052</v>
      </c>
      <c r="L2101" t="b">
        <v>0</v>
      </c>
      <c r="M2101" t="b">
        <v>0</v>
      </c>
      <c r="N2101" t="inlineStr">
        <is>
          <t>ref</t>
        </is>
      </c>
      <c r="O2101" t="n">
        <v>20</v>
      </c>
      <c r="P2101" t="n">
        <v>0.009636</v>
      </c>
      <c r="Q2101" t="n">
        <v>-90</v>
      </c>
      <c r="R2101" t="n">
        <v>0.1477</v>
      </c>
      <c r="S2101">
        <f>IMAGE("https://mitra.stanford.edu/kundaje/oak/projects/neuro-variants/variant_position/credible/roussos_2024/variant_figures/roussos_2024.adolescence.Astrocyte/rs6750763_count_position.png",4,220,900)</f>
        <v/>
      </c>
      <c r="T2101">
        <f>IMAGE("https://mitra.stanford.edu/kundaje/oak/projects/neuro-variants/variant_position/credible/roussos_2024/variant_figures/roussos_2024.adolescence.Astrocyte/rs6750763_profile_position.png",4,220,900)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0.01157178236</v>
      </c>
      <c r="G2102" t="n">
        <v>0.700163776762726</v>
      </c>
      <c r="H2102" t="n">
        <v>0.0228440572432419</v>
      </c>
      <c r="I2102" t="n">
        <v>0.0866719763789012</v>
      </c>
      <c r="J2102" t="n">
        <v>0.0009197994243835</v>
      </c>
      <c r="K2102" t="n">
        <v>0.8773330930201158</v>
      </c>
      <c r="L2102" t="b">
        <v>0</v>
      </c>
      <c r="M2102" t="b">
        <v>0</v>
      </c>
      <c r="N2102" t="inlineStr">
        <is>
          <t>alt</t>
        </is>
      </c>
      <c r="O2102" t="n">
        <v>-15</v>
      </c>
      <c r="P2102" t="n">
        <v>0.00889</v>
      </c>
      <c r="Q2102" t="n">
        <v>40</v>
      </c>
      <c r="R2102" t="n">
        <v>0.01233</v>
      </c>
      <c r="S2102">
        <f>IMAGE("https://mitra.stanford.edu/kundaje/oak/projects/neuro-variants/variant_position/credible/roussos_2024/variant_figures/roussos_2024.adolescence.Astrocyte/rs11124565_count_position.png",4,220,900)</f>
        <v/>
      </c>
      <c r="T2102">
        <f>IMAGE("https://mitra.stanford.edu/kundaje/oak/projects/neuro-variants/variant_position/credible/roussos_2024/variant_figures/roussos_2024.adolescence.Astrocyte/rs11124565_profile_position.png",4,220,900)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-0.00860495874</v>
      </c>
      <c r="G2103" t="n">
        <v>0.7360148905350593</v>
      </c>
      <c r="H2103" t="n">
        <v>0.0408907387669681</v>
      </c>
      <c r="I2103" t="n">
        <v>0.008715479874292199</v>
      </c>
      <c r="J2103" t="n">
        <v>0.0020042726166809</v>
      </c>
      <c r="K2103" t="n">
        <v>0.8214393480654376</v>
      </c>
      <c r="L2103" t="b">
        <v>0</v>
      </c>
      <c r="M2103" t="b">
        <v>0</v>
      </c>
      <c r="N2103" t="inlineStr">
        <is>
          <t>ref</t>
        </is>
      </c>
      <c r="O2103" t="n">
        <v>85</v>
      </c>
      <c r="P2103" t="n">
        <v>0.01707</v>
      </c>
      <c r="Q2103" t="n">
        <v>-85</v>
      </c>
      <c r="R2103" t="n">
        <v>0.04956</v>
      </c>
      <c r="S2103">
        <f>IMAGE("https://mitra.stanford.edu/kundaje/oak/projects/neuro-variants/variant_position/credible/roussos_2024/variant_figures/roussos_2024.adolescence.Astrocyte/rs4670673_count_position.png",4,220,900)</f>
        <v/>
      </c>
      <c r="T2103">
        <f>IMAGE("https://mitra.stanford.edu/kundaje/oak/projects/neuro-variants/variant_position/credible/roussos_2024/variant_figures/roussos_2024.adolescence.Astrocyte/rs4670673_profile_position.png",4,220,900)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0.115256989</v>
      </c>
      <c r="G2104" t="n">
        <v>0.0591122731520099</v>
      </c>
      <c r="H2104" t="n">
        <v>0.014765272789601</v>
      </c>
      <c r="I2104" t="n">
        <v>0.3369678623801111</v>
      </c>
      <c r="J2104" t="n">
        <v>0.1438173159659377</v>
      </c>
      <c r="K2104" t="n">
        <v>0.2617459255828834</v>
      </c>
      <c r="L2104" t="b">
        <v>0</v>
      </c>
      <c r="M2104" t="b">
        <v>0</v>
      </c>
      <c r="N2104" t="inlineStr">
        <is>
          <t>alt</t>
        </is>
      </c>
      <c r="O2104" t="n">
        <v>-85</v>
      </c>
      <c r="P2104" t="n">
        <v>0.01875</v>
      </c>
      <c r="Q2104" t="n">
        <v>100</v>
      </c>
      <c r="R2104" t="n">
        <v>0.07340000000000001</v>
      </c>
      <c r="S2104">
        <f>IMAGE("https://mitra.stanford.edu/kundaje/oak/projects/neuro-variants/variant_position/credible/roussos_2024/variant_figures/roussos_2024.adolescence.Astrocyte/rs2287093_count_position.png",4,220,900)</f>
        <v/>
      </c>
      <c r="T2104">
        <f>IMAGE("https://mitra.stanford.edu/kundaje/oak/projects/neuro-variants/variant_position/credible/roussos_2024/variant_figures/roussos_2024.adolescence.Astrocyte/rs2287093_profile_position.png",4,220,900)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0.0649840118</v>
      </c>
      <c r="G2105" t="n">
        <v>0.1841190211686558</v>
      </c>
      <c r="H2105" t="n">
        <v>0.0133301547050829</v>
      </c>
      <c r="I2105" t="n">
        <v>0.4349322691299039</v>
      </c>
      <c r="J2105" t="n">
        <v>0.0258463638251787</v>
      </c>
      <c r="K2105" t="n">
        <v>0.5319182291298252</v>
      </c>
      <c r="L2105" t="b">
        <v>0</v>
      </c>
      <c r="M2105" t="b">
        <v>0</v>
      </c>
      <c r="N2105" t="inlineStr">
        <is>
          <t>alt</t>
        </is>
      </c>
      <c r="O2105" t="n">
        <v>100</v>
      </c>
      <c r="P2105" t="n">
        <v>0.02725</v>
      </c>
      <c r="Q2105" t="n">
        <v>-35</v>
      </c>
      <c r="R2105" t="n">
        <v>0.06604</v>
      </c>
      <c r="S2105">
        <f>IMAGE("https://mitra.stanford.edu/kundaje/oak/projects/neuro-variants/variant_position/credible/roussos_2024/variant_figures/roussos_2024.adolescence.Astrocyte/rs10182759_count_position.png",4,220,900)</f>
        <v/>
      </c>
      <c r="T2105">
        <f>IMAGE("https://mitra.stanford.edu/kundaje/oak/projects/neuro-variants/variant_position/credible/roussos_2024/variant_figures/roussos_2024.adolescence.Astrocyte/rs10182759_profile_position.png",4,220,900)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0.00373994212</v>
      </c>
      <c r="G2106" t="n">
        <v>0.7550385276235207</v>
      </c>
      <c r="H2106" t="n">
        <v>0.021830720975015</v>
      </c>
      <c r="I2106" t="n">
        <v>0.101814895134292</v>
      </c>
      <c r="J2106" t="n">
        <v>0.0803689582529744</v>
      </c>
      <c r="K2106" t="n">
        <v>0.3652491281641808</v>
      </c>
      <c r="L2106" t="b">
        <v>0</v>
      </c>
      <c r="M2106" t="b">
        <v>0</v>
      </c>
      <c r="N2106" t="inlineStr">
        <is>
          <t>alt</t>
        </is>
      </c>
      <c r="O2106" t="n">
        <v>-35</v>
      </c>
      <c r="P2106" t="n">
        <v>0.01697</v>
      </c>
      <c r="Q2106" t="n">
        <v>-30</v>
      </c>
      <c r="R2106" t="n">
        <v>0.05566</v>
      </c>
      <c r="S2106">
        <f>IMAGE("https://mitra.stanford.edu/kundaje/oak/projects/neuro-variants/variant_position/credible/roussos_2024/variant_figures/roussos_2024.adolescence.Astrocyte/rs2041836_count_position.png",4,220,900)</f>
        <v/>
      </c>
      <c r="T2106">
        <f>IMAGE("https://mitra.stanford.edu/kundaje/oak/projects/neuro-variants/variant_position/credible/roussos_2024/variant_figures/roussos_2024.adolescence.Astrocyte/rs2041836_profile_position.png",4,220,900)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-0.1030668412</v>
      </c>
      <c r="G2107" t="n">
        <v>0.0774846001690656</v>
      </c>
      <c r="H2107" t="n">
        <v>0.0165448825047852</v>
      </c>
      <c r="I2107" t="n">
        <v>0.2466420603895688</v>
      </c>
      <c r="J2107" t="n">
        <v>0.0156892561493041</v>
      </c>
      <c r="K2107" t="n">
        <v>0.5988274466423635</v>
      </c>
      <c r="L2107" t="b">
        <v>0</v>
      </c>
      <c r="M2107" t="b">
        <v>0</v>
      </c>
      <c r="N2107" t="inlineStr">
        <is>
          <t>ref</t>
        </is>
      </c>
      <c r="O2107" t="n">
        <v>100</v>
      </c>
      <c r="P2107" t="n">
        <v>0.02786</v>
      </c>
      <c r="Q2107" t="n">
        <v>95</v>
      </c>
      <c r="R2107" t="n">
        <v>0.0698</v>
      </c>
      <c r="S2107">
        <f>IMAGE("https://mitra.stanford.edu/kundaje/oak/projects/neuro-variants/variant_position/credible/roussos_2024/variant_figures/roussos_2024.adolescence.Astrocyte/rs11682607_count_position.png",4,220,900)</f>
        <v/>
      </c>
      <c r="T2107">
        <f>IMAGE("https://mitra.stanford.edu/kundaje/oak/projects/neuro-variants/variant_position/credible/roussos_2024/variant_figures/roussos_2024.adolescence.Astrocyte/rs11682607_profile_position.png",4,220,900)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-0.0201790522</v>
      </c>
      <c r="G2108" t="n">
        <v>0.5427331256262494</v>
      </c>
      <c r="H2108" t="n">
        <v>0.041161799710964</v>
      </c>
      <c r="I2108" t="n">
        <v>0.0086151746708869</v>
      </c>
      <c r="J2108" t="n">
        <v>0.0061596890484526</v>
      </c>
      <c r="K2108" t="n">
        <v>0.7114996663705303</v>
      </c>
      <c r="L2108" t="b">
        <v>0</v>
      </c>
      <c r="M2108" t="b">
        <v>0</v>
      </c>
      <c r="N2108" t="inlineStr">
        <is>
          <t>ref</t>
        </is>
      </c>
      <c r="O2108" t="n">
        <v>95</v>
      </c>
      <c r="P2108" t="n">
        <v>0.009339999999999999</v>
      </c>
      <c r="Q2108" t="n">
        <v>-65</v>
      </c>
      <c r="R2108" t="n">
        <v>0.2109</v>
      </c>
      <c r="S2108">
        <f>IMAGE("https://mitra.stanford.edu/kundaje/oak/projects/neuro-variants/variant_position/credible/roussos_2024/variant_figures/roussos_2024.adolescence.Astrocyte/rs11693917_count_position.png",4,220,900)</f>
        <v/>
      </c>
      <c r="T2108">
        <f>IMAGE("https://mitra.stanford.edu/kundaje/oak/projects/neuro-variants/variant_position/credible/roussos_2024/variant_figures/roussos_2024.adolescence.Astrocyte/rs11693917_profile_position.png",4,220,900)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-0.00738638828</v>
      </c>
      <c r="G2109" t="n">
        <v>0.8162456527633163</v>
      </c>
      <c r="H2109" t="n">
        <v>0.0386518519582751</v>
      </c>
      <c r="I2109" t="n">
        <v>0.0112365021122982</v>
      </c>
      <c r="J2109" t="n">
        <v>0.0003679197697533</v>
      </c>
      <c r="K2109" t="n">
        <v>0.9395637176243102</v>
      </c>
      <c r="L2109" t="b">
        <v>0</v>
      </c>
      <c r="M2109" t="b">
        <v>0</v>
      </c>
      <c r="N2109" t="inlineStr">
        <is>
          <t>ref</t>
        </is>
      </c>
      <c r="O2109" t="n">
        <v>-60</v>
      </c>
      <c r="P2109" t="n">
        <v>0.01752</v>
      </c>
      <c r="Q2109" t="n">
        <v>-60</v>
      </c>
      <c r="R2109" t="n">
        <v>0.2421</v>
      </c>
      <c r="S2109">
        <f>IMAGE("https://mitra.stanford.edu/kundaje/oak/projects/neuro-variants/variant_position/credible/roussos_2024/variant_figures/roussos_2024.adolescence.Astrocyte/rs74177070_count_position.png",4,220,900)</f>
        <v/>
      </c>
      <c r="T2109">
        <f>IMAGE("https://mitra.stanford.edu/kundaje/oak/projects/neuro-variants/variant_position/credible/roussos_2024/variant_figures/roussos_2024.adolescence.Astrocyte/rs74177070_profile_position.png",4,220,900)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0.02616171576</v>
      </c>
      <c r="G2110" t="n">
        <v>0.4616372240810443</v>
      </c>
      <c r="H2110" t="n">
        <v>0.0256845713858592</v>
      </c>
      <c r="I2110" t="n">
        <v>0.0583226764906907</v>
      </c>
      <c r="J2110" t="n">
        <v>0.007921401655638901</v>
      </c>
      <c r="K2110" t="n">
        <v>0.7009189166380638</v>
      </c>
      <c r="L2110" t="b">
        <v>0</v>
      </c>
      <c r="M2110" t="b">
        <v>0</v>
      </c>
      <c r="N2110" t="inlineStr">
        <is>
          <t>alt</t>
        </is>
      </c>
      <c r="O2110" t="n">
        <v>-85</v>
      </c>
      <c r="P2110" t="n">
        <v>0.006107</v>
      </c>
      <c r="Q2110" t="n">
        <v>-15</v>
      </c>
      <c r="R2110" t="n">
        <v>0.002783</v>
      </c>
      <c r="S2110">
        <f>IMAGE("https://mitra.stanford.edu/kundaje/oak/projects/neuro-variants/variant_position/credible/roussos_2024/variant_figures/roussos_2024.adolescence.Astrocyte/rs67986063_count_position.png",4,220,900)</f>
        <v/>
      </c>
      <c r="T2110">
        <f>IMAGE("https://mitra.stanford.edu/kundaje/oak/projects/neuro-variants/variant_position/credible/roussos_2024/variant_figures/roussos_2024.adolescence.Astrocyte/rs67986063_profile_position.png",4,220,900)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-0.1336986523999999</v>
      </c>
      <c r="G2111" t="n">
        <v>0.0618038146776339</v>
      </c>
      <c r="H2111" t="n">
        <v>0.035750062923511</v>
      </c>
      <c r="I2111" t="n">
        <v>0.016388807311318</v>
      </c>
      <c r="J2111" t="n">
        <v>0.0051160134112689</v>
      </c>
      <c r="K2111" t="n">
        <v>0.7607764890702997</v>
      </c>
      <c r="L2111" t="b">
        <v>0</v>
      </c>
      <c r="M2111" t="b">
        <v>0</v>
      </c>
      <c r="N2111" t="inlineStr">
        <is>
          <t>ref</t>
        </is>
      </c>
      <c r="O2111" t="n">
        <v>5</v>
      </c>
      <c r="P2111" t="n">
        <v>0.001221</v>
      </c>
      <c r="Q2111" t="n">
        <v>-40</v>
      </c>
      <c r="R2111" t="n">
        <v>0.0429</v>
      </c>
      <c r="S2111">
        <f>IMAGE("https://mitra.stanford.edu/kundaje/oak/projects/neuro-variants/variant_position/credible/roussos_2024/variant_figures/roussos_2024.adolescence.Astrocyte/rs17504263_count_position.png",4,220,900)</f>
        <v/>
      </c>
      <c r="T2111">
        <f>IMAGE("https://mitra.stanford.edu/kundaje/oak/projects/neuro-variants/variant_position/credible/roussos_2024/variant_figures/roussos_2024.adolescence.Astrocyte/rs17504263_profile_position.png",4,220,900)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-0.0204068891999999</v>
      </c>
      <c r="G2112" t="n">
        <v>0.5523016361407643</v>
      </c>
      <c r="H2112" t="n">
        <v>0.0244233031941435</v>
      </c>
      <c r="I2112" t="n">
        <v>0.0693241236985566</v>
      </c>
      <c r="J2112" t="n">
        <v>0.0011883215144052</v>
      </c>
      <c r="K2112" t="n">
        <v>0.8815653739825032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0.02194</v>
      </c>
      <c r="Q2112" t="n">
        <v>-100</v>
      </c>
      <c r="R2112" t="n">
        <v>0.1549</v>
      </c>
      <c r="S2112">
        <f>IMAGE("https://mitra.stanford.edu/kundaje/oak/projects/neuro-variants/variant_position/credible/roussos_2024/variant_figures/roussos_2024.adolescence.Astrocyte/rs17041068_count_position.png",4,220,900)</f>
        <v/>
      </c>
      <c r="T2112">
        <f>IMAGE("https://mitra.stanford.edu/kundaje/oak/projects/neuro-variants/variant_position/credible/roussos_2024/variant_figures/roussos_2024.adolescence.Astrocyte/rs17041068_profile_position.png",4,220,900)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-0.0520457715999999</v>
      </c>
      <c r="G2113" t="n">
        <v>0.2298895035604176</v>
      </c>
      <c r="H2113" t="n">
        <v>0.0105186452049563</v>
      </c>
      <c r="I2113" t="n">
        <v>0.6956360974070026</v>
      </c>
      <c r="J2113" t="n">
        <v>0.1352461205233955</v>
      </c>
      <c r="K2113" t="n">
        <v>0.2719692820624723</v>
      </c>
      <c r="L2113" t="b">
        <v>0</v>
      </c>
      <c r="M2113" t="b">
        <v>0</v>
      </c>
      <c r="N2113" t="inlineStr">
        <is>
          <t>ref</t>
        </is>
      </c>
      <c r="O2113" t="n">
        <v>15</v>
      </c>
      <c r="P2113" t="n">
        <v>0.001497</v>
      </c>
      <c r="Q2113" t="n">
        <v>-80</v>
      </c>
      <c r="R2113" t="n">
        <v>0.05154</v>
      </c>
      <c r="S2113">
        <f>IMAGE("https://mitra.stanford.edu/kundaje/oak/projects/neuro-variants/variant_position/credible/roussos_2024/variant_figures/roussos_2024.adolescence.Astrocyte/rs67206190_count_position.png",4,220,900)</f>
        <v/>
      </c>
      <c r="T2113">
        <f>IMAGE("https://mitra.stanford.edu/kundaje/oak/projects/neuro-variants/variant_position/credible/roussos_2024/variant_figures/roussos_2024.adolescence.Astrocyte/rs67206190_profile_position.png",4,220,900)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0.22142354</v>
      </c>
      <c r="G2114" t="n">
        <v>0.0160026686424868</v>
      </c>
      <c r="H2114" t="n">
        <v>0.0170585274478291</v>
      </c>
      <c r="I2114" t="n">
        <v>0.2275018789958631</v>
      </c>
      <c r="J2114" t="n">
        <v>0.2235031006141886</v>
      </c>
      <c r="K2114" t="n">
        <v>0.1830783472806081</v>
      </c>
      <c r="L2114" t="b">
        <v>1</v>
      </c>
      <c r="M2114" t="b">
        <v>0</v>
      </c>
      <c r="N2114" t="inlineStr">
        <is>
          <t>alt</t>
        </is>
      </c>
      <c r="O2114" t="n">
        <v>95</v>
      </c>
      <c r="P2114" t="n">
        <v>0.1506</v>
      </c>
      <c r="Q2114" t="n">
        <v>95</v>
      </c>
      <c r="R2114" t="n">
        <v>0.0786</v>
      </c>
      <c r="S2114">
        <f>IMAGE("https://mitra.stanford.edu/kundaje/oak/projects/neuro-variants/variant_position/credible/roussos_2024/variant_figures/roussos_2024.adolescence.Astrocyte/rs66848903_count_position.png",4,220,900)</f>
        <v/>
      </c>
      <c r="T2114">
        <f>IMAGE("https://mitra.stanford.edu/kundaje/oak/projects/neuro-variants/variant_position/credible/roussos_2024/variant_figures/roussos_2024.adolescence.Astrocyte/rs66848903_profile_position.png",4,220,900)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-0.0065370956</v>
      </c>
      <c r="G2115" t="n">
        <v>0.6210801664807908</v>
      </c>
      <c r="H2115" t="n">
        <v>0.011720504028333</v>
      </c>
      <c r="I2115" t="n">
        <v>0.5818285955379696</v>
      </c>
      <c r="J2115" t="n">
        <v>0.0043289914844375</v>
      </c>
      <c r="K2115" t="n">
        <v>0.7499455222169316</v>
      </c>
      <c r="L2115" t="b">
        <v>0</v>
      </c>
      <c r="M2115" t="b">
        <v>0</v>
      </c>
      <c r="N2115" t="inlineStr">
        <is>
          <t>ref</t>
        </is>
      </c>
      <c r="O2115" t="n">
        <v>65</v>
      </c>
      <c r="P2115" t="n">
        <v>0.00826</v>
      </c>
      <c r="Q2115" t="n">
        <v>-25</v>
      </c>
      <c r="R2115" t="n">
        <v>0.1025</v>
      </c>
      <c r="S2115">
        <f>IMAGE("https://mitra.stanford.edu/kundaje/oak/projects/neuro-variants/variant_position/credible/roussos_2024/variant_figures/roussos_2024.adolescence.Astrocyte/rs2941582_count_position.png",4,220,900)</f>
        <v/>
      </c>
      <c r="T2115">
        <f>IMAGE("https://mitra.stanford.edu/kundaje/oak/projects/neuro-variants/variant_position/credible/roussos_2024/variant_figures/roussos_2024.adolescence.Astrocyte/rs2941582_profile_position.png",4,220,900)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-0.0214275571999999</v>
      </c>
      <c r="G2116" t="n">
        <v>0.5453786385633037</v>
      </c>
      <c r="H2116" t="n">
        <v>0.018365966586106</v>
      </c>
      <c r="I2116" t="n">
        <v>0.1813396623066003</v>
      </c>
      <c r="J2116" t="n">
        <v>0.1628267513277749</v>
      </c>
      <c r="K2116" t="n">
        <v>0.2502606412001661</v>
      </c>
      <c r="L2116" t="b">
        <v>0</v>
      </c>
      <c r="M2116" t="b">
        <v>0</v>
      </c>
      <c r="N2116" t="inlineStr">
        <is>
          <t>ref</t>
        </is>
      </c>
      <c r="O2116" t="n">
        <v>-100</v>
      </c>
      <c r="P2116" t="n">
        <v>0.0697</v>
      </c>
      <c r="Q2116" t="n">
        <v>-100</v>
      </c>
      <c r="R2116" t="n">
        <v>0.02626</v>
      </c>
      <c r="S2116">
        <f>IMAGE("https://mitra.stanford.edu/kundaje/oak/projects/neuro-variants/variant_position/credible/roussos_2024/variant_figures/roussos_2024.adolescence.Astrocyte/rs354216_count_position.png",4,220,900)</f>
        <v/>
      </c>
      <c r="T2116">
        <f>IMAGE("https://mitra.stanford.edu/kundaje/oak/projects/neuro-variants/variant_position/credible/roussos_2024/variant_figures/roussos_2024.adolescence.Astrocyte/rs354216_profile_position.png",4,220,900)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-0.0040733394</v>
      </c>
      <c r="G2117" t="n">
        <v>0.6238951771488016</v>
      </c>
      <c r="H2117" t="n">
        <v>0.0140247457153081</v>
      </c>
      <c r="I2117" t="n">
        <v>0.3862146996700987</v>
      </c>
      <c r="J2117" t="n">
        <v>0.0003293475358276</v>
      </c>
      <c r="K2117" t="n">
        <v>0.933590145655649</v>
      </c>
      <c r="L2117" t="b">
        <v>0</v>
      </c>
      <c r="M2117" t="b">
        <v>0</v>
      </c>
      <c r="N2117" t="inlineStr">
        <is>
          <t>ref</t>
        </is>
      </c>
      <c r="O2117" t="n">
        <v>75</v>
      </c>
      <c r="P2117" t="n">
        <v>0.00248</v>
      </c>
      <c r="Q2117" t="n">
        <v>95</v>
      </c>
      <c r="R2117" t="n">
        <v>0.1567</v>
      </c>
      <c r="S2117">
        <f>IMAGE("https://mitra.stanford.edu/kundaje/oak/projects/neuro-variants/variant_position/credible/roussos_2024/variant_figures/roussos_2024.adolescence.Astrocyte/rs73934803_count_position.png",4,220,900)</f>
        <v/>
      </c>
      <c r="T2117">
        <f>IMAGE("https://mitra.stanford.edu/kundaje/oak/projects/neuro-variants/variant_position/credible/roussos_2024/variant_figures/roussos_2024.adolescence.Astrocyte/rs73934803_profile_position.png",4,220,900)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-0.1181680859999999</v>
      </c>
      <c r="G2118" t="n">
        <v>0.056748996116574</v>
      </c>
      <c r="H2118" t="n">
        <v>0.0170648152697787</v>
      </c>
      <c r="I2118" t="n">
        <v>0.2242929736550685</v>
      </c>
      <c r="J2118" t="n">
        <v>0.0254398718214995</v>
      </c>
      <c r="K2118" t="n">
        <v>0.5577106492800912</v>
      </c>
      <c r="L2118" t="b">
        <v>0</v>
      </c>
      <c r="M2118" t="b">
        <v>0</v>
      </c>
      <c r="N2118" t="inlineStr">
        <is>
          <t>ref</t>
        </is>
      </c>
      <c r="O2118" t="n">
        <v>-60</v>
      </c>
      <c r="P2118" t="n">
        <v>0.0503</v>
      </c>
      <c r="Q2118" t="n">
        <v>-65</v>
      </c>
      <c r="R2118" t="n">
        <v>0.159</v>
      </c>
      <c r="S2118">
        <f>IMAGE("https://mitra.stanford.edu/kundaje/oak/projects/neuro-variants/variant_position/credible/roussos_2024/variant_figures/roussos_2024.adolescence.Astrocyte/rs148661029_count_position.png",4,220,900)</f>
        <v/>
      </c>
      <c r="T2118">
        <f>IMAGE("https://mitra.stanford.edu/kundaje/oak/projects/neuro-variants/variant_position/credible/roussos_2024/variant_figures/roussos_2024.adolescence.Astrocyte/rs148661029_profile_position.png",4,220,900)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-0.0530794566</v>
      </c>
      <c r="G2119" t="n">
        <v>0.2527747041776238</v>
      </c>
      <c r="H2119" t="n">
        <v>0.0146919592288118</v>
      </c>
      <c r="I2119" t="n">
        <v>0.343363123098569</v>
      </c>
      <c r="J2119" t="n">
        <v>0.0422484645283802</v>
      </c>
      <c r="K2119" t="n">
        <v>0.4610432818709605</v>
      </c>
      <c r="L2119" t="b">
        <v>0</v>
      </c>
      <c r="M2119" t="b">
        <v>0</v>
      </c>
      <c r="N2119" t="inlineStr">
        <is>
          <t>ref</t>
        </is>
      </c>
      <c r="O2119" t="n">
        <v>25</v>
      </c>
      <c r="P2119" t="n">
        <v>0.00296</v>
      </c>
      <c r="Q2119" t="n">
        <v>20</v>
      </c>
      <c r="R2119" t="n">
        <v>0.003174</v>
      </c>
      <c r="S2119">
        <f>IMAGE("https://mitra.stanford.edu/kundaje/oak/projects/neuro-variants/variant_position/credible/roussos_2024/variant_figures/roussos_2024.adolescence.Astrocyte/rs10180540_count_position.png",4,220,900)</f>
        <v/>
      </c>
      <c r="T2119">
        <f>IMAGE("https://mitra.stanford.edu/kundaje/oak/projects/neuro-variants/variant_position/credible/roussos_2024/variant_figures/roussos_2024.adolescence.Astrocyte/rs10180540_profile_position.png",4,220,900)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-0.01017447366</v>
      </c>
      <c r="G2120" t="n">
        <v>0.7414758580005339</v>
      </c>
      <c r="H2120" t="n">
        <v>0.009604042822930901</v>
      </c>
      <c r="I2120" t="n">
        <v>0.8010928388900599</v>
      </c>
      <c r="J2120" t="n">
        <v>0.005537340889535</v>
      </c>
      <c r="K2120" t="n">
        <v>0.7309759644579221</v>
      </c>
      <c r="L2120" t="b">
        <v>0</v>
      </c>
      <c r="M2120" t="b">
        <v>0</v>
      </c>
      <c r="N2120" t="inlineStr">
        <is>
          <t>ref</t>
        </is>
      </c>
      <c r="O2120" t="n">
        <v>35</v>
      </c>
      <c r="P2120" t="n">
        <v>0.006546</v>
      </c>
      <c r="Q2120" t="n">
        <v>-100</v>
      </c>
      <c r="R2120" t="n">
        <v>0.04016</v>
      </c>
      <c r="S2120">
        <f>IMAGE("https://mitra.stanford.edu/kundaje/oak/projects/neuro-variants/variant_position/credible/roussos_2024/variant_figures/roussos_2024.adolescence.Astrocyte/rs41335055_count_position.png",4,220,900)</f>
        <v/>
      </c>
      <c r="T2120">
        <f>IMAGE("https://mitra.stanford.edu/kundaje/oak/projects/neuro-variants/variant_position/credible/roussos_2024/variant_figures/roussos_2024.adolescence.Astrocyte/rs41335055_profile_position.png",4,220,900)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-0.104527384</v>
      </c>
      <c r="G2121" t="n">
        <v>0.07425775487831519</v>
      </c>
      <c r="H2121" t="n">
        <v>0.0209452789324279</v>
      </c>
      <c r="I2121" t="n">
        <v>0.1184934879890921</v>
      </c>
      <c r="J2121" t="n">
        <v>0.0467614158976945</v>
      </c>
      <c r="K2121" t="n">
        <v>0.4520930981849826</v>
      </c>
      <c r="L2121" t="b">
        <v>0</v>
      </c>
      <c r="M2121" t="b">
        <v>0</v>
      </c>
      <c r="N2121" t="inlineStr">
        <is>
          <t>ref</t>
        </is>
      </c>
      <c r="O2121" t="n">
        <v>-100</v>
      </c>
      <c r="P2121" t="n">
        <v>0.1189</v>
      </c>
      <c r="Q2121" t="n">
        <v>-100</v>
      </c>
      <c r="R2121" t="n">
        <v>0.1455</v>
      </c>
      <c r="S2121">
        <f>IMAGE("https://mitra.stanford.edu/kundaje/oak/projects/neuro-variants/variant_position/credible/roussos_2024/variant_figures/roussos_2024.adolescence.Astrocyte/rs77011057_count_position.png",4,220,900)</f>
        <v/>
      </c>
      <c r="T2121">
        <f>IMAGE("https://mitra.stanford.edu/kundaje/oak/projects/neuro-variants/variant_position/credible/roussos_2024/variant_figures/roussos_2024.adolescence.Astrocyte/rs77011057_profile_position.png",4,220,900)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-0.009343587840000001</v>
      </c>
      <c r="G2122" t="n">
        <v>0.7548059879863085</v>
      </c>
      <c r="H2122" t="n">
        <v>0.0301451273058723</v>
      </c>
      <c r="I2122" t="n">
        <v>0.0308011106109416</v>
      </c>
      <c r="J2122" t="n">
        <v>0.0024456279856392</v>
      </c>
      <c r="K2122" t="n">
        <v>0.8041976960297299</v>
      </c>
      <c r="L2122" t="b">
        <v>0</v>
      </c>
      <c r="M2122" t="b">
        <v>0</v>
      </c>
      <c r="N2122" t="inlineStr">
        <is>
          <t>ref</t>
        </is>
      </c>
      <c r="O2122" t="n">
        <v>100</v>
      </c>
      <c r="P2122" t="n">
        <v>0.003708</v>
      </c>
      <c r="Q2122" t="n">
        <v>-100</v>
      </c>
      <c r="R2122" t="n">
        <v>0.07920000000000001</v>
      </c>
      <c r="S2122">
        <f>IMAGE("https://mitra.stanford.edu/kundaje/oak/projects/neuro-variants/variant_position/credible/roussos_2024/variant_figures/roussos_2024.adolescence.Astrocyte/rs79017955_count_position.png",4,220,900)</f>
        <v/>
      </c>
      <c r="T2122">
        <f>IMAGE("https://mitra.stanford.edu/kundaje/oak/projects/neuro-variants/variant_position/credible/roussos_2024/variant_figures/roussos_2024.adolescence.Astrocyte/rs79017955_profile_position.png",4,220,900)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-0.00827869828</v>
      </c>
      <c r="G2123" t="n">
        <v>0.7941618155712603</v>
      </c>
      <c r="H2123" t="n">
        <v>0.0291629852572396</v>
      </c>
      <c r="I2123" t="n">
        <v>0.0349040086428019</v>
      </c>
      <c r="J2123" t="n">
        <v>0.0069088805150876</v>
      </c>
      <c r="K2123" t="n">
        <v>0.700851010138779</v>
      </c>
      <c r="L2123" t="b">
        <v>0</v>
      </c>
      <c r="M2123" t="b">
        <v>0</v>
      </c>
      <c r="N2123" t="inlineStr">
        <is>
          <t>ref</t>
        </is>
      </c>
      <c r="O2123" t="n">
        <v>70</v>
      </c>
      <c r="P2123" t="n">
        <v>0.010376</v>
      </c>
      <c r="Q2123" t="n">
        <v>45</v>
      </c>
      <c r="R2123" t="n">
        <v>0.1259</v>
      </c>
      <c r="S2123">
        <f>IMAGE("https://mitra.stanford.edu/kundaje/oak/projects/neuro-variants/variant_position/credible/roussos_2024/variant_figures/roussos_2024.adolescence.Astrocyte/rs59159185_count_position.png",4,220,900)</f>
        <v/>
      </c>
      <c r="T2123">
        <f>IMAGE("https://mitra.stanford.edu/kundaje/oak/projects/neuro-variants/variant_position/credible/roussos_2024/variant_figures/roussos_2024.adolescence.Astrocyte/rs59159185_profile_position.png",4,220,900)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-0.0169127742</v>
      </c>
      <c r="G2124" t="n">
        <v>0.0864236717705708</v>
      </c>
      <c r="H2124" t="n">
        <v>0.0143586393245965</v>
      </c>
      <c r="I2124" t="n">
        <v>0.3650277182002024</v>
      </c>
      <c r="J2124" t="n">
        <v>0.2434442037800789</v>
      </c>
      <c r="K2124" t="n">
        <v>0.168652961016572</v>
      </c>
      <c r="L2124" t="b">
        <v>0</v>
      </c>
      <c r="M2124" t="b">
        <v>0</v>
      </c>
      <c r="N2124" t="inlineStr">
        <is>
          <t>ref</t>
        </is>
      </c>
      <c r="O2124" t="n">
        <v>-60</v>
      </c>
      <c r="P2124" t="n">
        <v>0.002121</v>
      </c>
      <c r="Q2124" t="n">
        <v>-65</v>
      </c>
      <c r="R2124" t="n">
        <v>0.09520000000000001</v>
      </c>
      <c r="S2124">
        <f>IMAGE("https://mitra.stanford.edu/kundaje/oak/projects/neuro-variants/variant_position/credible/roussos_2024/variant_figures/roussos_2024.adolescence.Astrocyte/rs17828225_count_position.png",4,220,900)</f>
        <v/>
      </c>
      <c r="T2124">
        <f>IMAGE("https://mitra.stanford.edu/kundaje/oak/projects/neuro-variants/variant_position/credible/roussos_2024/variant_figures/roussos_2024.adolescence.Astrocyte/rs17828225_profile_position.png",4,220,900)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0.01187078242</v>
      </c>
      <c r="G2125" t="n">
        <v>0.6956231798579567</v>
      </c>
      <c r="H2125" t="n">
        <v>0.0100700898103481</v>
      </c>
      <c r="I2125" t="n">
        <v>0.7508435749527795</v>
      </c>
      <c r="J2125" t="n">
        <v>0.0603737056048422</v>
      </c>
      <c r="K2125" t="n">
        <v>0.4080379542005004</v>
      </c>
      <c r="L2125" t="b">
        <v>0</v>
      </c>
      <c r="M2125" t="b">
        <v>0</v>
      </c>
      <c r="N2125" t="inlineStr">
        <is>
          <t>alt</t>
        </is>
      </c>
      <c r="O2125" t="n">
        <v>60</v>
      </c>
      <c r="P2125" t="n">
        <v>0.00653</v>
      </c>
      <c r="Q2125" t="n">
        <v>-100</v>
      </c>
      <c r="R2125" t="n">
        <v>0.03842</v>
      </c>
      <c r="S2125">
        <f>IMAGE("https://mitra.stanford.edu/kundaje/oak/projects/neuro-variants/variant_position/credible/roussos_2024/variant_figures/roussos_2024.adolescence.Astrocyte/rs2678915_count_position.png",4,220,900)</f>
        <v/>
      </c>
      <c r="T2125">
        <f>IMAGE("https://mitra.stanford.edu/kundaje/oak/projects/neuro-variants/variant_position/credible/roussos_2024/variant_figures/roussos_2024.adolescence.Astrocyte/rs2678915_profile_position.png",4,220,900)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-0.0138799222</v>
      </c>
      <c r="G2126" t="n">
        <v>0.3923686430964429</v>
      </c>
      <c r="H2126" t="n">
        <v>0.0112336512733656</v>
      </c>
      <c r="I2126" t="n">
        <v>0.6118581643527605</v>
      </c>
      <c r="J2126" t="n">
        <v>0.06860442690561661</v>
      </c>
      <c r="K2126" t="n">
        <v>0.3917486490076534</v>
      </c>
      <c r="L2126" t="b">
        <v>0</v>
      </c>
      <c r="M2126" t="b">
        <v>0</v>
      </c>
      <c r="N2126" t="inlineStr">
        <is>
          <t>ref</t>
        </is>
      </c>
      <c r="O2126" t="n">
        <v>55</v>
      </c>
      <c r="P2126" t="n">
        <v>0.008385</v>
      </c>
      <c r="Q2126" t="n">
        <v>70</v>
      </c>
      <c r="R2126" t="n">
        <v>0.128</v>
      </c>
      <c r="S2126">
        <f>IMAGE("https://mitra.stanford.edu/kundaje/oak/projects/neuro-variants/variant_position/credible/roussos_2024/variant_figures/roussos_2024.adolescence.Astrocyte/rs77843640_count_position.png",4,220,900)</f>
        <v/>
      </c>
      <c r="T2126">
        <f>IMAGE("https://mitra.stanford.edu/kundaje/oak/projects/neuro-variants/variant_position/credible/roussos_2024/variant_figures/roussos_2024.adolescence.Astrocyte/rs77843640_profile_position.png",4,220,900)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0.012307001</v>
      </c>
      <c r="G2127" t="n">
        <v>0.2974171390092957</v>
      </c>
      <c r="H2127" t="n">
        <v>0.0158101305208014</v>
      </c>
      <c r="I2127" t="n">
        <v>0.2830810127129632</v>
      </c>
      <c r="J2127" t="n">
        <v>0.0161343203869091</v>
      </c>
      <c r="K2127" t="n">
        <v>0.6135847498180883</v>
      </c>
      <c r="L2127" t="b">
        <v>0</v>
      </c>
      <c r="M2127" t="b">
        <v>0</v>
      </c>
      <c r="N2127" t="inlineStr">
        <is>
          <t>alt</t>
        </is>
      </c>
      <c r="O2127" t="n">
        <v>-80</v>
      </c>
      <c r="P2127" t="n">
        <v>0.004086</v>
      </c>
      <c r="Q2127" t="n">
        <v>-80</v>
      </c>
      <c r="R2127" t="n">
        <v>0.05554</v>
      </c>
      <c r="S2127">
        <f>IMAGE("https://mitra.stanford.edu/kundaje/oak/projects/neuro-variants/variant_position/credible/roussos_2024/variant_figures/roussos_2024.adolescence.Astrocyte/rs2717007_count_position.png",4,220,900)</f>
        <v/>
      </c>
      <c r="T2127">
        <f>IMAGE("https://mitra.stanford.edu/kundaje/oak/projects/neuro-variants/variant_position/credible/roussos_2024/variant_figures/roussos_2024.adolescence.Astrocyte/rs2717007_profile_position.png",4,220,900)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0.0123298442</v>
      </c>
      <c r="G2128" t="n">
        <v>0.448522380981942</v>
      </c>
      <c r="H2128" t="n">
        <v>0.0232454283763504</v>
      </c>
      <c r="I2128" t="n">
        <v>0.0814466822841436</v>
      </c>
      <c r="J2128" t="n">
        <v>0.0002240156662611</v>
      </c>
      <c r="K2128" t="n">
        <v>0.9651878698591524</v>
      </c>
      <c r="L2128" t="b">
        <v>0</v>
      </c>
      <c r="M2128" t="b">
        <v>0</v>
      </c>
      <c r="N2128" t="inlineStr">
        <is>
          <t>alt</t>
        </is>
      </c>
      <c r="O2128" t="n">
        <v>-25</v>
      </c>
      <c r="P2128" t="n">
        <v>0.001734</v>
      </c>
      <c r="Q2128" t="n">
        <v>-50</v>
      </c>
      <c r="R2128" t="n">
        <v>0.03644</v>
      </c>
      <c r="S2128">
        <f>IMAGE("https://mitra.stanford.edu/kundaje/oak/projects/neuro-variants/variant_position/credible/roussos_2024/variant_figures/roussos_2024.adolescence.Astrocyte/rs2717019_count_position.png",4,220,900)</f>
        <v/>
      </c>
      <c r="T2128">
        <f>IMAGE("https://mitra.stanford.edu/kundaje/oak/projects/neuro-variants/variant_position/credible/roussos_2024/variant_figures/roussos_2024.adolescence.Astrocyte/rs2717019_profile_position.png",4,220,900)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0.0496842284</v>
      </c>
      <c r="G2129" t="n">
        <v>0.2359603219497788</v>
      </c>
      <c r="H2129" t="n">
        <v>0.0201597068685984</v>
      </c>
      <c r="I2129" t="n">
        <v>0.133927706238244</v>
      </c>
      <c r="J2129" t="n">
        <v>0.0042674242649022</v>
      </c>
      <c r="K2129" t="n">
        <v>0.7798673692703573</v>
      </c>
      <c r="L2129" t="b">
        <v>0</v>
      </c>
      <c r="M2129" t="b">
        <v>0</v>
      </c>
      <c r="N2129" t="inlineStr">
        <is>
          <t>alt</t>
        </is>
      </c>
      <c r="O2129" t="n">
        <v>100</v>
      </c>
      <c r="P2129" t="n">
        <v>0.004013</v>
      </c>
      <c r="Q2129" t="n">
        <v>100</v>
      </c>
      <c r="R2129" t="n">
        <v>0.375</v>
      </c>
      <c r="S2129">
        <f>IMAGE("https://mitra.stanford.edu/kundaje/oak/projects/neuro-variants/variant_position/credible/roussos_2024/variant_figures/roussos_2024.adolescence.Astrocyte/rs2678888_count_position.png",4,220,900)</f>
        <v/>
      </c>
      <c r="T2129">
        <f>IMAGE("https://mitra.stanford.edu/kundaje/oak/projects/neuro-variants/variant_position/credible/roussos_2024/variant_figures/roussos_2024.adolescence.Astrocyte/rs2678888_profile_position.png",4,220,900)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-0.0503035808</v>
      </c>
      <c r="G2130" t="n">
        <v>0.2718446065410502</v>
      </c>
      <c r="H2130" t="n">
        <v>0.012168528669791</v>
      </c>
      <c r="I2130" t="n">
        <v>0.5366617245783958</v>
      </c>
      <c r="J2130" t="n">
        <v>0.0037429902382576</v>
      </c>
      <c r="K2130" t="n">
        <v>0.7846572238928832</v>
      </c>
      <c r="L2130" t="b">
        <v>0</v>
      </c>
      <c r="M2130" t="b">
        <v>0</v>
      </c>
      <c r="N2130" t="inlineStr">
        <is>
          <t>ref</t>
        </is>
      </c>
      <c r="O2130" t="n">
        <v>-100</v>
      </c>
      <c r="P2130" t="n">
        <v>0.0167</v>
      </c>
      <c r="Q2130" t="n">
        <v>-55</v>
      </c>
      <c r="R2130" t="n">
        <v>0.1646</v>
      </c>
      <c r="S2130">
        <f>IMAGE("https://mitra.stanford.edu/kundaje/oak/projects/neuro-variants/variant_position/credible/roussos_2024/variant_figures/roussos_2024.adolescence.Astrocyte/rs970941_count_position.png",4,220,900)</f>
        <v/>
      </c>
      <c r="T2130">
        <f>IMAGE("https://mitra.stanford.edu/kundaje/oak/projects/neuro-variants/variant_position/credible/roussos_2024/variant_figures/roussos_2024.adolescence.Astrocyte/rs970941_profile_position.png",4,220,900)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-0.009292225459999999</v>
      </c>
      <c r="G2131" t="n">
        <v>0.7251525233304275</v>
      </c>
      <c r="H2131" t="n">
        <v>0.0288889639021662</v>
      </c>
      <c r="I2131" t="n">
        <v>0.036486012233526</v>
      </c>
      <c r="J2131" t="n">
        <v>0.0007454825979882</v>
      </c>
      <c r="K2131" t="n">
        <v>0.9091530153445428</v>
      </c>
      <c r="L2131" t="b">
        <v>0</v>
      </c>
      <c r="M2131" t="b">
        <v>0</v>
      </c>
      <c r="N2131" t="inlineStr">
        <is>
          <t>ref</t>
        </is>
      </c>
      <c r="O2131" t="n">
        <v>-95</v>
      </c>
      <c r="P2131" t="n">
        <v>0.01096</v>
      </c>
      <c r="Q2131" t="n">
        <v>-40</v>
      </c>
      <c r="R2131" t="n">
        <v>0.07199999999999999</v>
      </c>
      <c r="S2131">
        <f>IMAGE("https://mitra.stanford.edu/kundaje/oak/projects/neuro-variants/variant_position/credible/roussos_2024/variant_figures/roussos_2024.adolescence.Astrocyte/rs2678891_count_position.png",4,220,900)</f>
        <v/>
      </c>
      <c r="T2131">
        <f>IMAGE("https://mitra.stanford.edu/kundaje/oak/projects/neuro-variants/variant_position/credible/roussos_2024/variant_figures/roussos_2024.adolescence.Astrocyte/rs2678891_profile_position.png",4,220,900)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-0.0057678201799999</v>
      </c>
      <c r="G2132" t="n">
        <v>0.8535218938333977</v>
      </c>
      <c r="H2132" t="n">
        <v>0.0200795664219361</v>
      </c>
      <c r="I2132" t="n">
        <v>0.1343290258683354</v>
      </c>
      <c r="J2132" t="n">
        <v>0.0012150253686615</v>
      </c>
      <c r="K2132" t="n">
        <v>0.8595438776428419</v>
      </c>
      <c r="L2132" t="b">
        <v>0</v>
      </c>
      <c r="M2132" t="b">
        <v>0</v>
      </c>
      <c r="N2132" t="inlineStr">
        <is>
          <t>ref</t>
        </is>
      </c>
      <c r="O2132" t="n">
        <v>-90</v>
      </c>
      <c r="P2132" t="n">
        <v>0.00814</v>
      </c>
      <c r="Q2132" t="n">
        <v>25</v>
      </c>
      <c r="R2132" t="n">
        <v>0.01312</v>
      </c>
      <c r="S2132">
        <f>IMAGE("https://mitra.stanford.edu/kundaje/oak/projects/neuro-variants/variant_position/credible/roussos_2024/variant_figures/roussos_2024.adolescence.Astrocyte/rs1568254_count_position.png",4,220,900)</f>
        <v/>
      </c>
      <c r="T2132">
        <f>IMAGE("https://mitra.stanford.edu/kundaje/oak/projects/neuro-variants/variant_position/credible/roussos_2024/variant_figures/roussos_2024.adolescence.Astrocyte/rs1568254_profile_position.png",4,220,900)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0.016848559</v>
      </c>
      <c r="G2133" t="n">
        <v>0.1918983797488077</v>
      </c>
      <c r="H2133" t="n">
        <v>0.0434081019931309</v>
      </c>
      <c r="I2133" t="n">
        <v>0.0069036807245349</v>
      </c>
      <c r="J2133" t="n">
        <v>0.0888949054980268</v>
      </c>
      <c r="K2133" t="n">
        <v>0.3530707253988607</v>
      </c>
      <c r="L2133" t="b">
        <v>1</v>
      </c>
      <c r="M2133" t="b">
        <v>1</v>
      </c>
      <c r="N2133" t="inlineStr">
        <is>
          <t>alt</t>
        </is>
      </c>
      <c r="O2133" t="n">
        <v>-100</v>
      </c>
      <c r="P2133" t="n">
        <v>0.00717</v>
      </c>
      <c r="Q2133" t="n">
        <v>-100</v>
      </c>
      <c r="R2133" t="n">
        <v>0.376</v>
      </c>
      <c r="S2133">
        <f>IMAGE("https://mitra.stanford.edu/kundaje/oak/projects/neuro-variants/variant_position/credible/roussos_2024/variant_figures/roussos_2024.adolescence.Astrocyte/rs1518393_count_position.png",4,220,900)</f>
        <v/>
      </c>
      <c r="T2133">
        <f>IMAGE("https://mitra.stanford.edu/kundaje/oak/projects/neuro-variants/variant_position/credible/roussos_2024/variant_figures/roussos_2024.adolescence.Astrocyte/rs1518393_profile_position.png",4,220,900)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0.0504316785999999</v>
      </c>
      <c r="G2134" t="n">
        <v>0.2349808287145128</v>
      </c>
      <c r="H2134" t="n">
        <v>0.0115955554948053</v>
      </c>
      <c r="I2134" t="n">
        <v>0.5724954933074737</v>
      </c>
      <c r="J2134" t="n">
        <v>0.0037496662018217</v>
      </c>
      <c r="K2134" t="n">
        <v>0.7913662273940676</v>
      </c>
      <c r="L2134" t="b">
        <v>0</v>
      </c>
      <c r="M2134" t="b">
        <v>0</v>
      </c>
      <c r="N2134" t="inlineStr">
        <is>
          <t>alt</t>
        </is>
      </c>
      <c r="O2134" t="n">
        <v>35</v>
      </c>
      <c r="P2134" t="n">
        <v>0.01159</v>
      </c>
      <c r="Q2134" t="n">
        <v>35</v>
      </c>
      <c r="R2134" t="n">
        <v>0.04413</v>
      </c>
      <c r="S2134">
        <f>IMAGE("https://mitra.stanford.edu/kundaje/oak/projects/neuro-variants/variant_position/credible/roussos_2024/variant_figures/roussos_2024.adolescence.Astrocyte/rs59913344_count_position.png",4,220,900)</f>
        <v/>
      </c>
      <c r="T2134">
        <f>IMAGE("https://mitra.stanford.edu/kundaje/oak/projects/neuro-variants/variant_position/credible/roussos_2024/variant_figures/roussos_2024.adolescence.Astrocyte/rs59913344_profile_position.png",4,220,900)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-0.2457155299999999</v>
      </c>
      <c r="G2135" t="n">
        <v>0.0136024075953598</v>
      </c>
      <c r="H2135" t="n">
        <v>0.0305189668374543</v>
      </c>
      <c r="I2135" t="n">
        <v>0.0311943929557023</v>
      </c>
      <c r="J2135" t="n">
        <v>0.0402835059193543</v>
      </c>
      <c r="K2135" t="n">
        <v>0.4847836382222891</v>
      </c>
      <c r="L2135" t="b">
        <v>1</v>
      </c>
      <c r="M2135" t="b">
        <v>0</v>
      </c>
      <c r="N2135" t="inlineStr">
        <is>
          <t>ref</t>
        </is>
      </c>
      <c r="O2135" t="n">
        <v>55</v>
      </c>
      <c r="P2135" t="n">
        <v>0.003456</v>
      </c>
      <c r="Q2135" t="n">
        <v>45</v>
      </c>
      <c r="R2135" t="n">
        <v>0.11584</v>
      </c>
      <c r="S2135">
        <f>IMAGE("https://mitra.stanford.edu/kundaje/oak/projects/neuro-variants/variant_position/credible/roussos_2024/variant_figures/roussos_2024.adolescence.Astrocyte/rs6732310_count_position.png",4,220,900)</f>
        <v/>
      </c>
      <c r="T2135">
        <f>IMAGE("https://mitra.stanford.edu/kundaje/oak/projects/neuro-variants/variant_position/credible/roussos_2024/variant_figures/roussos_2024.adolescence.Astrocyte/rs6732310_profile_position.png",4,220,900)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-0.480518664</v>
      </c>
      <c r="G2136" t="n">
        <v>0.0017927809598584</v>
      </c>
      <c r="H2136" t="n">
        <v>0.0534413746669606</v>
      </c>
      <c r="I2136" t="n">
        <v>0.0038545975348842</v>
      </c>
      <c r="J2136" t="n">
        <v>0.0210804676141589</v>
      </c>
      <c r="K2136" t="n">
        <v>0.6010483006137898</v>
      </c>
      <c r="L2136" t="b">
        <v>1</v>
      </c>
      <c r="M2136" t="b">
        <v>1</v>
      </c>
      <c r="N2136" t="inlineStr">
        <is>
          <t>ref</t>
        </is>
      </c>
      <c r="O2136" t="n">
        <v>100</v>
      </c>
      <c r="P2136" t="n">
        <v>0.03455</v>
      </c>
      <c r="Q2136" t="n">
        <v>20</v>
      </c>
      <c r="R2136" t="n">
        <v>0.008545000000000001</v>
      </c>
      <c r="S2136">
        <f>IMAGE("https://mitra.stanford.edu/kundaje/oak/projects/neuro-variants/variant_position/credible/roussos_2024/variant_figures/roussos_2024.adolescence.Astrocyte/rs17049298_count_position.png",4,220,900)</f>
        <v/>
      </c>
      <c r="T2136">
        <f>IMAGE("https://mitra.stanford.edu/kundaje/oak/projects/neuro-variants/variant_position/credible/roussos_2024/variant_figures/roussos_2024.adolescence.Astrocyte/rs17049298_profile_position.png",4,220,900)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0.043010248</v>
      </c>
      <c r="G2137" t="n">
        <v>0.2884617021464165</v>
      </c>
      <c r="H2137" t="n">
        <v>0.0146942715328756</v>
      </c>
      <c r="I2137" t="n">
        <v>0.3441349840167436</v>
      </c>
      <c r="J2137" t="n">
        <v>0.0023425214372607</v>
      </c>
      <c r="K2137" t="n">
        <v>0.8045766200132836</v>
      </c>
      <c r="L2137" t="b">
        <v>0</v>
      </c>
      <c r="M2137" t="b">
        <v>0</v>
      </c>
      <c r="N2137" t="inlineStr">
        <is>
          <t>alt</t>
        </is>
      </c>
      <c r="O2137" t="n">
        <v>-70</v>
      </c>
      <c r="P2137" t="n">
        <v>0.01192</v>
      </c>
      <c r="Q2137" t="n">
        <v>-100</v>
      </c>
      <c r="R2137" t="n">
        <v>0.09454</v>
      </c>
      <c r="S2137">
        <f>IMAGE("https://mitra.stanford.edu/kundaje/oak/projects/neuro-variants/variant_position/credible/roussos_2024/variant_figures/roussos_2024.adolescence.Astrocyte/rs3771204_count_position.png",4,220,900)</f>
        <v/>
      </c>
      <c r="T2137">
        <f>IMAGE("https://mitra.stanford.edu/kundaje/oak/projects/neuro-variants/variant_position/credible/roussos_2024/variant_figures/roussos_2024.adolescence.Astrocyte/rs3771204_profile_position.png",4,220,900)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0.0627704531999999</v>
      </c>
      <c r="G2138" t="n">
        <v>0.1750210190229331</v>
      </c>
      <c r="H2138" t="n">
        <v>0.0132520538865488</v>
      </c>
      <c r="I2138" t="n">
        <v>0.4453762115382298</v>
      </c>
      <c r="J2138" t="n">
        <v>0.0004309705367474</v>
      </c>
      <c r="K2138" t="n">
        <v>0.9211263590251076</v>
      </c>
      <c r="L2138" t="b">
        <v>0</v>
      </c>
      <c r="M2138" t="b">
        <v>0</v>
      </c>
      <c r="N2138" t="inlineStr">
        <is>
          <t>alt</t>
        </is>
      </c>
      <c r="O2138" t="n">
        <v>70</v>
      </c>
      <c r="P2138" t="n">
        <v>0.00708</v>
      </c>
      <c r="Q2138" t="n">
        <v>100</v>
      </c>
      <c r="R2138" t="n">
        <v>0.02061</v>
      </c>
      <c r="S2138">
        <f>IMAGE("https://mitra.stanford.edu/kundaje/oak/projects/neuro-variants/variant_position/credible/roussos_2024/variant_figures/roussos_2024.adolescence.Astrocyte/rs12620940_count_position.png",4,220,900)</f>
        <v/>
      </c>
      <c r="T2138">
        <f>IMAGE("https://mitra.stanford.edu/kundaje/oak/projects/neuro-variants/variant_position/credible/roussos_2024/variant_figures/roussos_2024.adolescence.Astrocyte/rs12620940_profile_position.png",4,220,900)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-0.038975336</v>
      </c>
      <c r="G2139" t="n">
        <v>0.3501436631166878</v>
      </c>
      <c r="H2139" t="n">
        <v>0.0317816913925885</v>
      </c>
      <c r="I2139" t="n">
        <v>0.0253173496522258</v>
      </c>
      <c r="J2139" t="n">
        <v>0.000249977746788</v>
      </c>
      <c r="K2139" t="n">
        <v>0.9528544784882398</v>
      </c>
      <c r="L2139" t="b">
        <v>0</v>
      </c>
      <c r="M2139" t="b">
        <v>0</v>
      </c>
      <c r="N2139" t="inlineStr">
        <is>
          <t>ref</t>
        </is>
      </c>
      <c r="O2139" t="n">
        <v>100</v>
      </c>
      <c r="P2139" t="n">
        <v>0.227</v>
      </c>
      <c r="Q2139" t="n">
        <v>100</v>
      </c>
      <c r="R2139" t="n">
        <v>0.1504</v>
      </c>
      <c r="S2139">
        <f>IMAGE("https://mitra.stanford.edu/kundaje/oak/projects/neuro-variants/variant_position/credible/roussos_2024/variant_figures/roussos_2024.adolescence.Astrocyte/rs2118899_count_position.png",4,220,900)</f>
        <v/>
      </c>
      <c r="T2139">
        <f>IMAGE("https://mitra.stanford.edu/kundaje/oak/projects/neuro-variants/variant_position/credible/roussos_2024/variant_figures/roussos_2024.adolescence.Astrocyte/rs2118899_profile_position.png",4,220,900)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-0.0544196497999999</v>
      </c>
      <c r="G2140" t="n">
        <v>0.220689714688878</v>
      </c>
      <c r="H2140" t="n">
        <v>0.0378202347924285</v>
      </c>
      <c r="I2140" t="n">
        <v>0.0123929722126298</v>
      </c>
      <c r="J2140" t="n">
        <v>0.0591757410319555</v>
      </c>
      <c r="K2140" t="n">
        <v>0.4151923507168286</v>
      </c>
      <c r="L2140" t="b">
        <v>1</v>
      </c>
      <c r="M2140" t="b">
        <v>0</v>
      </c>
      <c r="N2140" t="inlineStr">
        <is>
          <t>ref</t>
        </is>
      </c>
      <c r="O2140" t="n">
        <v>-45</v>
      </c>
      <c r="P2140" t="n">
        <v>0.0202</v>
      </c>
      <c r="Q2140" t="n">
        <v>-100</v>
      </c>
      <c r="R2140" t="n">
        <v>0.1257</v>
      </c>
      <c r="S2140">
        <f>IMAGE("https://mitra.stanford.edu/kundaje/oak/projects/neuro-variants/variant_position/credible/roussos_2024/variant_figures/roussos_2024.adolescence.Astrocyte/rs17049366_count_position.png",4,220,900)</f>
        <v/>
      </c>
      <c r="T2140">
        <f>IMAGE("https://mitra.stanford.edu/kundaje/oak/projects/neuro-variants/variant_position/credible/roussos_2024/variant_figures/roussos_2024.adolescence.Astrocyte/rs17049366_profile_position.png",4,220,900)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-0.0356442179</v>
      </c>
      <c r="G2141" t="n">
        <v>0.346962142878808</v>
      </c>
      <c r="H2141" t="n">
        <v>0.0161780794333051</v>
      </c>
      <c r="I2141" t="n">
        <v>0.2633869345690423</v>
      </c>
      <c r="J2141" t="n">
        <v>0.04193321069341</v>
      </c>
      <c r="K2141" t="n">
        <v>0.4697615583151668</v>
      </c>
      <c r="L2141" t="b">
        <v>0</v>
      </c>
      <c r="M2141" t="b">
        <v>0</v>
      </c>
      <c r="N2141" t="inlineStr">
        <is>
          <t>ref</t>
        </is>
      </c>
      <c r="O2141" t="n">
        <v>100</v>
      </c>
      <c r="P2141" t="n">
        <v>0.002064</v>
      </c>
      <c r="Q2141" t="n">
        <v>-10</v>
      </c>
      <c r="R2141" t="n">
        <v>0.04468</v>
      </c>
      <c r="S2141">
        <f>IMAGE("https://mitra.stanford.edu/kundaje/oak/projects/neuro-variants/variant_position/credible/roussos_2024/variant_figures/roussos_2024.adolescence.Astrocyte/rs848293_count_position.png",4,220,900)</f>
        <v/>
      </c>
      <c r="T2141">
        <f>IMAGE("https://mitra.stanford.edu/kundaje/oak/projects/neuro-variants/variant_position/credible/roussos_2024/variant_figures/roussos_2024.adolescence.Astrocyte/rs848293_profile_position.png",4,220,900)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0.09940456119999989</v>
      </c>
      <c r="G2142" t="n">
        <v>0.09687849406625509</v>
      </c>
      <c r="H2142" t="n">
        <v>0.0123408136014671</v>
      </c>
      <c r="I2142" t="n">
        <v>0.522305770748405</v>
      </c>
      <c r="J2142" t="n">
        <v>0.0341089813963148</v>
      </c>
      <c r="K2142" t="n">
        <v>0.4977066759014453</v>
      </c>
      <c r="L2142" t="b">
        <v>0</v>
      </c>
      <c r="M2142" t="b">
        <v>0</v>
      </c>
      <c r="N2142" t="inlineStr">
        <is>
          <t>alt</t>
        </is>
      </c>
      <c r="O2142" t="n">
        <v>85</v>
      </c>
      <c r="P2142" t="n">
        <v>0.004738</v>
      </c>
      <c r="Q2142" t="n">
        <v>75</v>
      </c>
      <c r="R2142" t="n">
        <v>0.1156</v>
      </c>
      <c r="S2142">
        <f>IMAGE("https://mitra.stanford.edu/kundaje/oak/projects/neuro-variants/variant_position/credible/roussos_2024/variant_figures/roussos_2024.adolescence.Astrocyte/rs113506287_count_position.png",4,220,900)</f>
        <v/>
      </c>
      <c r="T2142">
        <f>IMAGE("https://mitra.stanford.edu/kundaje/oak/projects/neuro-variants/variant_position/credible/roussos_2024/variant_figures/roussos_2024.adolescence.Astrocyte/rs113506287_profile_position.png",4,220,900)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-0.014943422074</v>
      </c>
      <c r="G2143" t="n">
        <v>0.6604329257445681</v>
      </c>
      <c r="H2143" t="n">
        <v>0.0280835795098158</v>
      </c>
      <c r="I2143" t="n">
        <v>0.0409783471428499</v>
      </c>
      <c r="J2143" t="n">
        <v>0.0066054950597869</v>
      </c>
      <c r="K2143" t="n">
        <v>0.7228519769469253</v>
      </c>
      <c r="L2143" t="b">
        <v>0</v>
      </c>
      <c r="M2143" t="b">
        <v>0</v>
      </c>
      <c r="N2143" t="inlineStr">
        <is>
          <t>ref</t>
        </is>
      </c>
      <c r="O2143" t="n">
        <v>-85</v>
      </c>
      <c r="P2143" t="n">
        <v>0.08057</v>
      </c>
      <c r="Q2143" t="n">
        <v>-35</v>
      </c>
      <c r="R2143" t="n">
        <v>0.1855</v>
      </c>
      <c r="S2143">
        <f>IMAGE("https://mitra.stanford.edu/kundaje/oak/projects/neuro-variants/variant_position/credible/roussos_2024/variant_figures/roussos_2024.adolescence.Astrocyte/rs79064653_count_position.png",4,220,900)</f>
        <v/>
      </c>
      <c r="T2143">
        <f>IMAGE("https://mitra.stanford.edu/kundaje/oak/projects/neuro-variants/variant_position/credible/roussos_2024/variant_figures/roussos_2024.adolescence.Astrocyte/rs79064653_profile_position.png",4,220,900)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0.03320129426</v>
      </c>
      <c r="G2144" t="n">
        <v>0.3897026735262607</v>
      </c>
      <c r="H2144" t="n">
        <v>0.0214091598240902</v>
      </c>
      <c r="I2144" t="n">
        <v>0.1088707734196713</v>
      </c>
      <c r="J2144" t="n">
        <v>0.0633163219891404</v>
      </c>
      <c r="K2144" t="n">
        <v>0.4042948831031688</v>
      </c>
      <c r="L2144" t="b">
        <v>0</v>
      </c>
      <c r="M2144" t="b">
        <v>0</v>
      </c>
      <c r="N2144" t="inlineStr">
        <is>
          <t>alt</t>
        </is>
      </c>
      <c r="O2144" t="n">
        <v>-45</v>
      </c>
      <c r="P2144" t="n">
        <v>0.00641</v>
      </c>
      <c r="Q2144" t="n">
        <v>-65</v>
      </c>
      <c r="R2144" t="n">
        <v>0.0449</v>
      </c>
      <c r="S2144">
        <f>IMAGE("https://mitra.stanford.edu/kundaje/oak/projects/neuro-variants/variant_position/credible/roussos_2024/variant_figures/roussos_2024.adolescence.Astrocyte/rs79588315_count_position.png",4,220,900)</f>
        <v/>
      </c>
      <c r="T2144">
        <f>IMAGE("https://mitra.stanford.edu/kundaje/oak/projects/neuro-variants/variant_position/credible/roussos_2024/variant_figures/roussos_2024.adolescence.Astrocyte/rs79588315_profile_position.png",4,220,900)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-0.0586319953999999</v>
      </c>
      <c r="G2145" t="n">
        <v>0.2054884255872142</v>
      </c>
      <c r="H2145" t="n">
        <v>0.013331122727262</v>
      </c>
      <c r="I2145" t="n">
        <v>0.4389736024278897</v>
      </c>
      <c r="J2145" t="n">
        <v>0.0003731121858587</v>
      </c>
      <c r="K2145" t="n">
        <v>0.9336986195366578</v>
      </c>
      <c r="L2145" t="b">
        <v>0</v>
      </c>
      <c r="M2145" t="b">
        <v>0</v>
      </c>
      <c r="N2145" t="inlineStr">
        <is>
          <t>ref</t>
        </is>
      </c>
      <c r="O2145" t="n">
        <v>80</v>
      </c>
      <c r="P2145" t="n">
        <v>0.004917</v>
      </c>
      <c r="Q2145" t="n">
        <v>95</v>
      </c>
      <c r="R2145" t="n">
        <v>0.041</v>
      </c>
      <c r="S2145">
        <f>IMAGE("https://mitra.stanford.edu/kundaje/oak/projects/neuro-variants/variant_position/credible/roussos_2024/variant_figures/roussos_2024.adolescence.Astrocyte/rs80099621_count_position.png",4,220,900)</f>
        <v/>
      </c>
      <c r="T2145">
        <f>IMAGE("https://mitra.stanford.edu/kundaje/oak/projects/neuro-variants/variant_position/credible/roussos_2024/variant_figures/roussos_2024.adolescence.Astrocyte/rs80099621_profile_position.png",4,220,900)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0.316339916</v>
      </c>
      <c r="G2146" t="n">
        <v>0.0066788900270963</v>
      </c>
      <c r="H2146" t="n">
        <v>0.0378408095131604</v>
      </c>
      <c r="I2146" t="n">
        <v>0.0124192112652282</v>
      </c>
      <c r="J2146" t="n">
        <v>0.0901477613268848</v>
      </c>
      <c r="K2146" t="n">
        <v>0.3377991548933166</v>
      </c>
      <c r="L2146" t="b">
        <v>1</v>
      </c>
      <c r="M2146" t="b">
        <v>1</v>
      </c>
      <c r="N2146" t="inlineStr">
        <is>
          <t>alt</t>
        </is>
      </c>
      <c r="O2146" t="n">
        <v>75</v>
      </c>
      <c r="P2146" t="n">
        <v>0.013275</v>
      </c>
      <c r="Q2146" t="n">
        <v>100</v>
      </c>
      <c r="R2146" t="n">
        <v>0.09909999999999999</v>
      </c>
      <c r="S2146">
        <f>IMAGE("https://mitra.stanford.edu/kundaje/oak/projects/neuro-variants/variant_position/credible/roussos_2024/variant_figures/roussos_2024.adolescence.Astrocyte/rs112144830_count_position.png",4,220,900)</f>
        <v/>
      </c>
      <c r="T2146">
        <f>IMAGE("https://mitra.stanford.edu/kundaje/oak/projects/neuro-variants/variant_position/credible/roussos_2024/variant_figures/roussos_2024.adolescence.Astrocyte/rs112144830_profile_position.png",4,220,900)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-0.0427490955999999</v>
      </c>
      <c r="G2147" t="n">
        <v>0.282737376221441</v>
      </c>
      <c r="H2147" t="n">
        <v>0.0121049908850255</v>
      </c>
      <c r="I2147" t="n">
        <v>0.5465476543162878</v>
      </c>
      <c r="J2147" t="n">
        <v>0.0983925763285167</v>
      </c>
      <c r="K2147" t="n">
        <v>0.3314795619192576</v>
      </c>
      <c r="L2147" t="b">
        <v>0</v>
      </c>
      <c r="M2147" t="b">
        <v>0</v>
      </c>
      <c r="N2147" t="inlineStr">
        <is>
          <t>ref</t>
        </is>
      </c>
      <c r="O2147" t="n">
        <v>45</v>
      </c>
      <c r="P2147" t="n">
        <v>0.003452</v>
      </c>
      <c r="Q2147" t="n">
        <v>65</v>
      </c>
      <c r="R2147" t="n">
        <v>0.04712</v>
      </c>
      <c r="S2147">
        <f>IMAGE("https://mitra.stanford.edu/kundaje/oak/projects/neuro-variants/variant_position/credible/roussos_2024/variant_figures/roussos_2024.adolescence.Astrocyte/rs184071680_count_position.png",4,220,900)</f>
        <v/>
      </c>
      <c r="T2147">
        <f>IMAGE("https://mitra.stanford.edu/kundaje/oak/projects/neuro-variants/variant_position/credible/roussos_2024/variant_figures/roussos_2024.adolescence.Astrocyte/rs184071680_profile_position.png",4,220,900)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0.049509407</v>
      </c>
      <c r="G2148" t="n">
        <v>0.18900568031696</v>
      </c>
      <c r="H2148" t="n">
        <v>0.018956890237135</v>
      </c>
      <c r="I2148" t="n">
        <v>0.1680621587780618</v>
      </c>
      <c r="J2148" t="n">
        <v>0.0386901759487285</v>
      </c>
      <c r="K2148" t="n">
        <v>0.499729868336199</v>
      </c>
      <c r="L2148" t="b">
        <v>0</v>
      </c>
      <c r="M2148" t="b">
        <v>0</v>
      </c>
      <c r="N2148" t="inlineStr">
        <is>
          <t>alt</t>
        </is>
      </c>
      <c r="O2148" t="n">
        <v>65</v>
      </c>
      <c r="P2148" t="n">
        <v>0.01677</v>
      </c>
      <c r="Q2148" t="n">
        <v>65</v>
      </c>
      <c r="R2148" t="n">
        <v>0.0806</v>
      </c>
      <c r="S2148">
        <f>IMAGE("https://mitra.stanford.edu/kundaje/oak/projects/neuro-variants/variant_position/credible/roussos_2024/variant_figures/roussos_2024.adolescence.Astrocyte/rs10199158_count_position.png",4,220,900)</f>
        <v/>
      </c>
      <c r="T2148">
        <f>IMAGE("https://mitra.stanford.edu/kundaje/oak/projects/neuro-variants/variant_position/credible/roussos_2024/variant_figures/roussos_2024.adolescence.Astrocyte/rs10199158_profile_position.png",4,220,900)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0.0157404858</v>
      </c>
      <c r="G2149" t="n">
        <v>0.6191502200217238</v>
      </c>
      <c r="H2149" t="n">
        <v>0.0433568473858358</v>
      </c>
      <c r="I2149" t="n">
        <v>0.0071094753739428</v>
      </c>
      <c r="J2149" t="n">
        <v>0.0489607750051923</v>
      </c>
      <c r="K2149" t="n">
        <v>0.4466143208062435</v>
      </c>
      <c r="L2149" t="b">
        <v>1</v>
      </c>
      <c r="M2149" t="b">
        <v>0</v>
      </c>
      <c r="N2149" t="inlineStr">
        <is>
          <t>alt</t>
        </is>
      </c>
      <c r="O2149" t="n">
        <v>65</v>
      </c>
      <c r="P2149" t="n">
        <v>0.005005</v>
      </c>
      <c r="Q2149" t="n">
        <v>75</v>
      </c>
      <c r="R2149" t="n">
        <v>0.1681</v>
      </c>
      <c r="S2149">
        <f>IMAGE("https://mitra.stanford.edu/kundaje/oak/projects/neuro-variants/variant_position/credible/roussos_2024/variant_figures/roussos_2024.adolescence.Astrocyte/rs11691553_count_position.png",4,220,900)</f>
        <v/>
      </c>
      <c r="T2149">
        <f>IMAGE("https://mitra.stanford.edu/kundaje/oak/projects/neuro-variants/variant_position/credible/roussos_2024/variant_figures/roussos_2024.adolescence.Astrocyte/rs11691553_profile_position.png",4,220,900)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-0.062950436</v>
      </c>
      <c r="G2150" t="n">
        <v>0.1686612127851575</v>
      </c>
      <c r="H2150" t="n">
        <v>0.0160536416397988</v>
      </c>
      <c r="I2150" t="n">
        <v>0.2699838311238055</v>
      </c>
      <c r="J2150" t="n">
        <v>0.071751772839213</v>
      </c>
      <c r="K2150" t="n">
        <v>0.3850882280120691</v>
      </c>
      <c r="L2150" t="b">
        <v>0</v>
      </c>
      <c r="M2150" t="b">
        <v>0</v>
      </c>
      <c r="N2150" t="inlineStr">
        <is>
          <t>ref</t>
        </is>
      </c>
      <c r="O2150" t="n">
        <v>15</v>
      </c>
      <c r="P2150" t="n">
        <v>0.003845</v>
      </c>
      <c r="Q2150" t="n">
        <v>90</v>
      </c>
      <c r="R2150" t="n">
        <v>0.0835</v>
      </c>
      <c r="S2150">
        <f>IMAGE("https://mitra.stanford.edu/kundaje/oak/projects/neuro-variants/variant_position/credible/roussos_2024/variant_figures/roussos_2024.adolescence.Astrocyte/rs13415334_count_position.png",4,220,900)</f>
        <v/>
      </c>
      <c r="T2150">
        <f>IMAGE("https://mitra.stanford.edu/kundaje/oak/projects/neuro-variants/variant_position/credible/roussos_2024/variant_figures/roussos_2024.adolescence.Astrocyte/rs13415334_profile_position.png",4,220,900)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-0.0199471017</v>
      </c>
      <c r="G2151" t="n">
        <v>0.5517499089107514</v>
      </c>
      <c r="H2151" t="n">
        <v>0.0185309486444775</v>
      </c>
      <c r="I2151" t="n">
        <v>0.1775754082251139</v>
      </c>
      <c r="J2151" t="n">
        <v>0.0617956858439901</v>
      </c>
      <c r="K2151" t="n">
        <v>0.4057253933480216</v>
      </c>
      <c r="L2151" t="b">
        <v>0</v>
      </c>
      <c r="M2151" t="b">
        <v>0</v>
      </c>
      <c r="N2151" t="inlineStr">
        <is>
          <t>ref</t>
        </is>
      </c>
      <c r="O2151" t="n">
        <v>-75</v>
      </c>
      <c r="P2151" t="n">
        <v>0.001282</v>
      </c>
      <c r="Q2151" t="n">
        <v>100</v>
      </c>
      <c r="R2151" t="n">
        <v>0.11395</v>
      </c>
      <c r="S2151">
        <f>IMAGE("https://mitra.stanford.edu/kundaje/oak/projects/neuro-variants/variant_position/credible/roussos_2024/variant_figures/roussos_2024.adolescence.Astrocyte/rs974135_count_position.png",4,220,900)</f>
        <v/>
      </c>
      <c r="T2151">
        <f>IMAGE("https://mitra.stanford.edu/kundaje/oak/projects/neuro-variants/variant_position/credible/roussos_2024/variant_figures/roussos_2024.adolescence.Astrocyte/rs974135_profile_position.png",4,220,900)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-0.0028401966</v>
      </c>
      <c r="G2152" t="n">
        <v>0.8236225948577843</v>
      </c>
      <c r="H2152" t="n">
        <v>0.0138315576618472</v>
      </c>
      <c r="I2152" t="n">
        <v>0.3996525582271679</v>
      </c>
      <c r="J2152" t="n">
        <v>0.0242189122630032</v>
      </c>
      <c r="K2152" t="n">
        <v>0.5459488348165222</v>
      </c>
      <c r="L2152" t="b">
        <v>0</v>
      </c>
      <c r="M2152" t="b">
        <v>0</v>
      </c>
      <c r="N2152" t="inlineStr">
        <is>
          <t>ref</t>
        </is>
      </c>
      <c r="O2152" t="n">
        <v>-80</v>
      </c>
      <c r="P2152" t="n">
        <v>0.01126</v>
      </c>
      <c r="Q2152" t="n">
        <v>-90</v>
      </c>
      <c r="R2152" t="n">
        <v>0.176</v>
      </c>
      <c r="S2152">
        <f>IMAGE("https://mitra.stanford.edu/kundaje/oak/projects/neuro-variants/variant_position/credible/roussos_2024/variant_figures/roussos_2024.adolescence.Astrocyte/rs12621957_count_position.png",4,220,900)</f>
        <v/>
      </c>
      <c r="T2152">
        <f>IMAGE("https://mitra.stanford.edu/kundaje/oak/projects/neuro-variants/variant_position/credible/roussos_2024/variant_figures/roussos_2024.adolescence.Astrocyte/rs12621957_profile_position.png",4,220,900)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0.0783002966</v>
      </c>
      <c r="G2153" t="n">
        <v>0.1323799775381952</v>
      </c>
      <c r="H2153" t="n">
        <v>0.0328985921432718</v>
      </c>
      <c r="I2153" t="n">
        <v>0.0216751385031732</v>
      </c>
      <c r="J2153" t="n">
        <v>0.2020643562887576</v>
      </c>
      <c r="K2153" t="n">
        <v>0.2007890159736802</v>
      </c>
      <c r="L2153" t="b">
        <v>0</v>
      </c>
      <c r="M2153" t="b">
        <v>0</v>
      </c>
      <c r="N2153" t="inlineStr">
        <is>
          <t>alt</t>
        </is>
      </c>
      <c r="O2153" t="n">
        <v>15</v>
      </c>
      <c r="P2153" t="n">
        <v>0.004395</v>
      </c>
      <c r="Q2153" t="n">
        <v>-90</v>
      </c>
      <c r="R2153" t="n">
        <v>0.07764</v>
      </c>
      <c r="S2153">
        <f>IMAGE("https://mitra.stanford.edu/kundaje/oak/projects/neuro-variants/variant_position/credible/roussos_2024/variant_figures/roussos_2024.adolescence.Astrocyte/rs17028290_count_position.png",4,220,900)</f>
        <v/>
      </c>
      <c r="T2153">
        <f>IMAGE("https://mitra.stanford.edu/kundaje/oak/projects/neuro-variants/variant_position/credible/roussos_2024/variant_figures/roussos_2024.adolescence.Astrocyte/rs17028290_profile_position.png",4,220,900)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0.0836064356</v>
      </c>
      <c r="G2154" t="n">
        <v>0.1113362515762456</v>
      </c>
      <c r="H2154" t="n">
        <v>0.0164075421679977</v>
      </c>
      <c r="I2154" t="n">
        <v>0.2551789528384936</v>
      </c>
      <c r="J2154" t="n">
        <v>0.109695724416224</v>
      </c>
      <c r="K2154" t="n">
        <v>0.3119154444399852</v>
      </c>
      <c r="L2154" t="b">
        <v>0</v>
      </c>
      <c r="M2154" t="b">
        <v>0</v>
      </c>
      <c r="N2154" t="inlineStr">
        <is>
          <t>alt</t>
        </is>
      </c>
      <c r="O2154" t="n">
        <v>95</v>
      </c>
      <c r="P2154" t="n">
        <v>0.03864</v>
      </c>
      <c r="Q2154" t="n">
        <v>85</v>
      </c>
      <c r="R2154" t="n">
        <v>0.2405</v>
      </c>
      <c r="S2154">
        <f>IMAGE("https://mitra.stanford.edu/kundaje/oak/projects/neuro-variants/variant_position/credible/roussos_2024/variant_figures/roussos_2024.adolescence.Astrocyte/rs58469620_count_position.png",4,220,900)</f>
        <v/>
      </c>
      <c r="T2154">
        <f>IMAGE("https://mitra.stanford.edu/kundaje/oak/projects/neuro-variants/variant_position/credible/roussos_2024/variant_figures/roussos_2024.adolescence.Astrocyte/rs58469620_profile_position.png",4,220,900)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-0.1185022698</v>
      </c>
      <c r="G2155" t="n">
        <v>0.0585616482843475</v>
      </c>
      <c r="H2155" t="n">
        <v>0.0160186121411032</v>
      </c>
      <c r="I2155" t="n">
        <v>0.2773689647269939</v>
      </c>
      <c r="J2155" t="n">
        <v>0.0765132184078568</v>
      </c>
      <c r="K2155" t="n">
        <v>0.3795846988538296</v>
      </c>
      <c r="L2155" t="b">
        <v>0</v>
      </c>
      <c r="M2155" t="b">
        <v>0</v>
      </c>
      <c r="N2155" t="inlineStr">
        <is>
          <t>ref</t>
        </is>
      </c>
      <c r="O2155" t="n">
        <v>0</v>
      </c>
      <c r="P2155" t="n">
        <v>0</v>
      </c>
      <c r="Q2155" t="n">
        <v>55</v>
      </c>
      <c r="R2155" t="n">
        <v>0.1526</v>
      </c>
      <c r="S2155">
        <f>IMAGE("https://mitra.stanford.edu/kundaje/oak/projects/neuro-variants/variant_position/credible/roussos_2024/variant_figures/roussos_2024.adolescence.Astrocyte/rs7599488_count_position.png",4,220,900)</f>
        <v/>
      </c>
      <c r="T2155">
        <f>IMAGE("https://mitra.stanford.edu/kundaje/oak/projects/neuro-variants/variant_position/credible/roussos_2024/variant_figures/roussos_2024.adolescence.Astrocyte/rs7599488_profile_position.png",4,220,900)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0.008932214040000001</v>
      </c>
      <c r="G2156" t="n">
        <v>0.5527244378608905</v>
      </c>
      <c r="H2156" t="n">
        <v>0.0282447714251817</v>
      </c>
      <c r="I2156" t="n">
        <v>0.0404055273273711</v>
      </c>
      <c r="J2156" t="n">
        <v>0.0267505860012461</v>
      </c>
      <c r="K2156" t="n">
        <v>0.529962708627567</v>
      </c>
      <c r="L2156" t="b">
        <v>0</v>
      </c>
      <c r="M2156" t="b">
        <v>0</v>
      </c>
      <c r="N2156" t="inlineStr">
        <is>
          <t>alt</t>
        </is>
      </c>
      <c r="O2156" t="n">
        <v>-90</v>
      </c>
      <c r="P2156" t="n">
        <v>0.007076</v>
      </c>
      <c r="Q2156" t="n">
        <v>-90</v>
      </c>
      <c r="R2156" t="n">
        <v>0.1279</v>
      </c>
      <c r="S2156">
        <f>IMAGE("https://mitra.stanford.edu/kundaje/oak/projects/neuro-variants/variant_position/credible/roussos_2024/variant_figures/roussos_2024.adolescence.Astrocyte/rs766432_count_position.png",4,220,900)</f>
        <v/>
      </c>
      <c r="T2156">
        <f>IMAGE("https://mitra.stanford.edu/kundaje/oak/projects/neuro-variants/variant_position/credible/roussos_2024/variant_figures/roussos_2024.adolescence.Astrocyte/rs766432_profile_position.png",4,220,900)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0.0356211896</v>
      </c>
      <c r="G2157" t="n">
        <v>0.3422960331860984</v>
      </c>
      <c r="H2157" t="n">
        <v>0.0113391822649419</v>
      </c>
      <c r="I2157" t="n">
        <v>0.6218149692880547</v>
      </c>
      <c r="J2157" t="n">
        <v>0.0040552769783104</v>
      </c>
      <c r="K2157" t="n">
        <v>0.7613429155729021</v>
      </c>
      <c r="L2157" t="b">
        <v>0</v>
      </c>
      <c r="M2157" t="b">
        <v>0</v>
      </c>
      <c r="N2157" t="inlineStr">
        <is>
          <t>alt</t>
        </is>
      </c>
      <c r="O2157" t="n">
        <v>-20</v>
      </c>
      <c r="P2157" t="n">
        <v>0.002424</v>
      </c>
      <c r="Q2157" t="n">
        <v>100</v>
      </c>
      <c r="R2157" t="n">
        <v>0.2107</v>
      </c>
      <c r="S2157">
        <f>IMAGE("https://mitra.stanford.edu/kundaje/oak/projects/neuro-variants/variant_position/credible/roussos_2024/variant_figures/roussos_2024.adolescence.Astrocyte/rs12328348_count_position.png",4,220,900)</f>
        <v/>
      </c>
      <c r="T2157">
        <f>IMAGE("https://mitra.stanford.edu/kundaje/oak/projects/neuro-variants/variant_position/credible/roussos_2024/variant_figures/roussos_2024.adolescence.Astrocyte/rs12328348_profile_position.png",4,220,900)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-0.0005574995999999</v>
      </c>
      <c r="G2158" t="n">
        <v>0.858976109430682</v>
      </c>
      <c r="H2158" t="n">
        <v>0.0102041755195315</v>
      </c>
      <c r="I2158" t="n">
        <v>0.7384904202700504</v>
      </c>
      <c r="J2158" t="n">
        <v>0.0506535026555498</v>
      </c>
      <c r="K2158" t="n">
        <v>0.4426059761083869</v>
      </c>
      <c r="L2158" t="b">
        <v>0</v>
      </c>
      <c r="M2158" t="b">
        <v>0</v>
      </c>
      <c r="N2158" t="inlineStr">
        <is>
          <t>ref</t>
        </is>
      </c>
      <c r="O2158" t="n">
        <v>-100</v>
      </c>
      <c r="P2158" t="n">
        <v>0.003897</v>
      </c>
      <c r="Q2158" t="n">
        <v>65</v>
      </c>
      <c r="R2158" t="n">
        <v>0.09827</v>
      </c>
      <c r="S2158">
        <f>IMAGE("https://mitra.stanford.edu/kundaje/oak/projects/neuro-variants/variant_position/credible/roussos_2024/variant_figures/roussos_2024.adolescence.Astrocyte/rs356998_count_position.png",4,220,900)</f>
        <v/>
      </c>
      <c r="T2158">
        <f>IMAGE("https://mitra.stanford.edu/kundaje/oak/projects/neuro-variants/variant_position/credible/roussos_2024/variant_figures/roussos_2024.adolescence.Astrocyte/rs356998_profile_position.png",4,220,900)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0.00399492812</v>
      </c>
      <c r="G2159" t="n">
        <v>0.5584686234294708</v>
      </c>
      <c r="H2159" t="n">
        <v>0.0118182277725781</v>
      </c>
      <c r="I2159" t="n">
        <v>0.5656061947256928</v>
      </c>
      <c r="J2159" t="n">
        <v>0.0074741120968459</v>
      </c>
      <c r="K2159" t="n">
        <v>0.7017590629102314</v>
      </c>
      <c r="L2159" t="b">
        <v>0</v>
      </c>
      <c r="M2159" t="b">
        <v>0</v>
      </c>
      <c r="N2159" t="inlineStr">
        <is>
          <t>alt</t>
        </is>
      </c>
      <c r="O2159" t="n">
        <v>-80</v>
      </c>
      <c r="P2159" t="n">
        <v>0.07623000000000001</v>
      </c>
      <c r="Q2159" t="n">
        <v>-85</v>
      </c>
      <c r="R2159" t="n">
        <v>0.1443</v>
      </c>
      <c r="S2159">
        <f>IMAGE("https://mitra.stanford.edu/kundaje/oak/projects/neuro-variants/variant_position/credible/roussos_2024/variant_figures/roussos_2024.adolescence.Astrocyte/rs55710238_count_position.png",4,220,900)</f>
        <v/>
      </c>
      <c r="T2159">
        <f>IMAGE("https://mitra.stanford.edu/kundaje/oak/projects/neuro-variants/variant_position/credible/roussos_2024/variant_figures/roussos_2024.adolescence.Astrocyte/rs55710238_profile_position.png",4,220,900)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0.0270424958</v>
      </c>
      <c r="G2160" t="n">
        <v>0.4309234463346746</v>
      </c>
      <c r="H2160" t="n">
        <v>0.0152360813736398</v>
      </c>
      <c r="I2160" t="n">
        <v>0.3109430329079899</v>
      </c>
      <c r="J2160" t="n">
        <v>0.0212317894549446</v>
      </c>
      <c r="K2160" t="n">
        <v>0.567914771528183</v>
      </c>
      <c r="L2160" t="b">
        <v>0</v>
      </c>
      <c r="M2160" t="b">
        <v>0</v>
      </c>
      <c r="N2160" t="inlineStr">
        <is>
          <t>alt</t>
        </is>
      </c>
      <c r="O2160" t="n">
        <v>-100</v>
      </c>
      <c r="P2160" t="n">
        <v>0.03314</v>
      </c>
      <c r="Q2160" t="n">
        <v>-100</v>
      </c>
      <c r="R2160" t="n">
        <v>0.0517</v>
      </c>
      <c r="S2160">
        <f>IMAGE("https://mitra.stanford.edu/kundaje/oak/projects/neuro-variants/variant_position/credible/roussos_2024/variant_figures/roussos_2024.adolescence.Astrocyte/rs34419497_count_position.png",4,220,900)</f>
        <v/>
      </c>
      <c r="T2160">
        <f>IMAGE("https://mitra.stanford.edu/kundaje/oak/projects/neuro-variants/variant_position/credible/roussos_2024/variant_figures/roussos_2024.adolescence.Astrocyte/rs34419497_profile_position.png",4,220,900)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0.01829846328</v>
      </c>
      <c r="G2161" t="n">
        <v>0.5655181893896718</v>
      </c>
      <c r="H2161" t="n">
        <v>0.0256675987502005</v>
      </c>
      <c r="I2161" t="n">
        <v>0.0569799657753363</v>
      </c>
      <c r="J2161" t="n">
        <v>0.001470195531555</v>
      </c>
      <c r="K2161" t="n">
        <v>0.84912646144941</v>
      </c>
      <c r="L2161" t="b">
        <v>0</v>
      </c>
      <c r="M2161" t="b">
        <v>0</v>
      </c>
      <c r="N2161" t="inlineStr">
        <is>
          <t>alt</t>
        </is>
      </c>
      <c r="O2161" t="n">
        <v>-65</v>
      </c>
      <c r="P2161" t="n">
        <v>0.00978</v>
      </c>
      <c r="Q2161" t="n">
        <v>70</v>
      </c>
      <c r="R2161" t="n">
        <v>0.07539999999999999</v>
      </c>
      <c r="S2161">
        <f>IMAGE("https://mitra.stanford.edu/kundaje/oak/projects/neuro-variants/variant_position/credible/roussos_2024/variant_figures/roussos_2024.adolescence.Astrocyte/rs1430346_count_position.png",4,220,900)</f>
        <v/>
      </c>
      <c r="T2161">
        <f>IMAGE("https://mitra.stanford.edu/kundaje/oak/projects/neuro-variants/variant_position/credible/roussos_2024/variant_figures/roussos_2024.adolescence.Astrocyte/rs1430346_profile_position.png",4,220,900)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-0.1050076059999999</v>
      </c>
      <c r="G2162" t="n">
        <v>0.0730003213378012</v>
      </c>
      <c r="H2162" t="n">
        <v>0.0188860836091448</v>
      </c>
      <c r="I2162" t="n">
        <v>0.165471619799136</v>
      </c>
      <c r="J2162" t="n">
        <v>0.0400023736759338</v>
      </c>
      <c r="K2162" t="n">
        <v>0.4776959614003777</v>
      </c>
      <c r="L2162" t="b">
        <v>0</v>
      </c>
      <c r="M2162" t="b">
        <v>0</v>
      </c>
      <c r="N2162" t="inlineStr">
        <is>
          <t>ref</t>
        </is>
      </c>
      <c r="O2162" t="n">
        <v>95</v>
      </c>
      <c r="P2162" t="n">
        <v>0.013</v>
      </c>
      <c r="Q2162" t="n">
        <v>10</v>
      </c>
      <c r="R2162" t="n">
        <v>0.0252</v>
      </c>
      <c r="S2162">
        <f>IMAGE("https://mitra.stanford.edu/kundaje/oak/projects/neuro-variants/variant_position/credible/roussos_2024/variant_figures/roussos_2024.adolescence.Astrocyte/rs60796597_count_position.png",4,220,900)</f>
        <v/>
      </c>
      <c r="T2162">
        <f>IMAGE("https://mitra.stanford.edu/kundaje/oak/projects/neuro-variants/variant_position/credible/roussos_2024/variant_figures/roussos_2024.adolescence.Astrocyte/rs60796597_profile_position.png",4,220,900)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-0.0511085181999999</v>
      </c>
      <c r="G2163" t="n">
        <v>0.2541377353804749</v>
      </c>
      <c r="H2163" t="n">
        <v>0.0106248557547708</v>
      </c>
      <c r="I2163" t="n">
        <v>0.6425156992400768</v>
      </c>
      <c r="J2163" t="n">
        <v>0.0483636471530723</v>
      </c>
      <c r="K2163" t="n">
        <v>0.4906184706533611</v>
      </c>
      <c r="L2163" t="b">
        <v>0</v>
      </c>
      <c r="M2163" t="b">
        <v>0</v>
      </c>
      <c r="N2163" t="inlineStr">
        <is>
          <t>ref</t>
        </is>
      </c>
      <c r="O2163" t="n">
        <v>-100</v>
      </c>
      <c r="P2163" t="n">
        <v>0.003532</v>
      </c>
      <c r="Q2163" t="n">
        <v>-95</v>
      </c>
      <c r="R2163" t="n">
        <v>0.1201</v>
      </c>
      <c r="S2163">
        <f>IMAGE("https://mitra.stanford.edu/kundaje/oak/projects/neuro-variants/variant_position/credible/roussos_2024/variant_figures/roussos_2024.adolescence.Astrocyte/rs7604588_count_position.png",4,220,900)</f>
        <v/>
      </c>
      <c r="T2163">
        <f>IMAGE("https://mitra.stanford.edu/kundaje/oak/projects/neuro-variants/variant_position/credible/roussos_2024/variant_figures/roussos_2024.adolescence.Astrocyte/rs7604588_profile_position.png",4,220,900)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-0.01121416968</v>
      </c>
      <c r="G2164" t="n">
        <v>0.6302940779808475</v>
      </c>
      <c r="H2164" t="n">
        <v>0.0248279166146169</v>
      </c>
      <c r="I2164" t="n">
        <v>0.06529780971843049</v>
      </c>
      <c r="J2164" t="n">
        <v>0.0167996914221285</v>
      </c>
      <c r="K2164" t="n">
        <v>0.5917593754992141</v>
      </c>
      <c r="L2164" t="b">
        <v>0</v>
      </c>
      <c r="M2164" t="b">
        <v>0</v>
      </c>
      <c r="N2164" t="inlineStr">
        <is>
          <t>ref</t>
        </is>
      </c>
      <c r="O2164" t="n">
        <v>70</v>
      </c>
      <c r="P2164" t="n">
        <v>0.02228</v>
      </c>
      <c r="Q2164" t="n">
        <v>-95</v>
      </c>
      <c r="R2164" t="n">
        <v>0.06945999999999999</v>
      </c>
      <c r="S2164">
        <f>IMAGE("https://mitra.stanford.edu/kundaje/oak/projects/neuro-variants/variant_position/credible/roussos_2024/variant_figures/roussos_2024.adolescence.Astrocyte/rs6546822_count_position.png",4,220,900)</f>
        <v/>
      </c>
      <c r="T2164">
        <f>IMAGE("https://mitra.stanford.edu/kundaje/oak/projects/neuro-variants/variant_position/credible/roussos_2024/variant_figures/roussos_2024.adolescence.Astrocyte/rs6546822_profile_position.png",4,220,900)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-0.240103232</v>
      </c>
      <c r="G2165" t="n">
        <v>0.0162529639353494</v>
      </c>
      <c r="H2165" t="n">
        <v>0.022671349139185</v>
      </c>
      <c r="I2165" t="n">
        <v>0.1011359245462652</v>
      </c>
      <c r="J2165" t="n">
        <v>0.0197319229742159</v>
      </c>
      <c r="K2165" t="n">
        <v>0.6071630443261598</v>
      </c>
      <c r="L2165" t="b">
        <v>1</v>
      </c>
      <c r="M2165" t="b">
        <v>0</v>
      </c>
      <c r="N2165" t="inlineStr">
        <is>
          <t>ref</t>
        </is>
      </c>
      <c r="O2165" t="n">
        <v>60</v>
      </c>
      <c r="P2165" t="n">
        <v>0.00766</v>
      </c>
      <c r="Q2165" t="n">
        <v>60</v>
      </c>
      <c r="R2165" t="n">
        <v>0.1514</v>
      </c>
      <c r="S2165">
        <f>IMAGE("https://mitra.stanford.edu/kundaje/oak/projects/neuro-variants/variant_position/credible/roussos_2024/variant_figures/roussos_2024.adolescence.Astrocyte/rs1522926_count_position.png",4,220,900)</f>
        <v/>
      </c>
      <c r="T2165">
        <f>IMAGE("https://mitra.stanford.edu/kundaje/oak/projects/neuro-variants/variant_position/credible/roussos_2024/variant_figures/roussos_2024.adolescence.Astrocyte/rs1522926_profile_position.png",4,220,900)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0.003939305</v>
      </c>
      <c r="G2166" t="n">
        <v>0.5174783349798466</v>
      </c>
      <c r="H2166" t="n">
        <v>0.0240675329921336</v>
      </c>
      <c r="I2166" t="n">
        <v>0.0791155080579206</v>
      </c>
      <c r="J2166" t="n">
        <v>0.0029648695961783</v>
      </c>
      <c r="K2166" t="n">
        <v>0.7925651212423425</v>
      </c>
      <c r="L2166" t="b">
        <v>0</v>
      </c>
      <c r="M2166" t="b">
        <v>0</v>
      </c>
      <c r="N2166" t="inlineStr">
        <is>
          <t>alt</t>
        </is>
      </c>
      <c r="O2166" t="n">
        <v>-5</v>
      </c>
      <c r="P2166" t="n">
        <v>0.00058</v>
      </c>
      <c r="Q2166" t="n">
        <v>100</v>
      </c>
      <c r="R2166" t="n">
        <v>0.0675</v>
      </c>
      <c r="S2166">
        <f>IMAGE("https://mitra.stanford.edu/kundaje/oak/projects/neuro-variants/variant_position/credible/roussos_2024/variant_figures/roussos_2024.adolescence.Astrocyte/rs6546827_count_position.png",4,220,900)</f>
        <v/>
      </c>
      <c r="T2166">
        <f>IMAGE("https://mitra.stanford.edu/kundaje/oak/projects/neuro-variants/variant_position/credible/roussos_2024/variant_figures/roussos_2024.adolescence.Astrocyte/rs6546827_profile_position.png",4,220,900)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-0.0180722603999999</v>
      </c>
      <c r="G2167" t="n">
        <v>0.5846778069319678</v>
      </c>
      <c r="H2167" t="n">
        <v>0.0294213460916742</v>
      </c>
      <c r="I2167" t="n">
        <v>0.0346268499390474</v>
      </c>
      <c r="J2167" t="n">
        <v>0.0002766816010443</v>
      </c>
      <c r="K2167" t="n">
        <v>0.9421527312001524</v>
      </c>
      <c r="L2167" t="b">
        <v>0</v>
      </c>
      <c r="M2167" t="b">
        <v>0</v>
      </c>
      <c r="N2167" t="inlineStr">
        <is>
          <t>ref</t>
        </is>
      </c>
      <c r="O2167" t="n">
        <v>-45</v>
      </c>
      <c r="P2167" t="n">
        <v>0.00241</v>
      </c>
      <c r="Q2167" t="n">
        <v>45</v>
      </c>
      <c r="R2167" t="n">
        <v>0.03333</v>
      </c>
      <c r="S2167">
        <f>IMAGE("https://mitra.stanford.edu/kundaje/oak/projects/neuro-variants/variant_position/credible/roussos_2024/variant_figures/roussos_2024.adolescence.Astrocyte/rs56672945_count_position.png",4,220,900)</f>
        <v/>
      </c>
      <c r="T2167">
        <f>IMAGE("https://mitra.stanford.edu/kundaje/oak/projects/neuro-variants/variant_position/credible/roussos_2024/variant_figures/roussos_2024.adolescence.Astrocyte/rs56672945_profile_position.png",4,220,900)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-0.0186440848</v>
      </c>
      <c r="G2168" t="n">
        <v>0.5713931974124254</v>
      </c>
      <c r="H2168" t="n">
        <v>0.0346365569266988</v>
      </c>
      <c r="I2168" t="n">
        <v>0.0173576886856543</v>
      </c>
      <c r="J2168" t="n">
        <v>0.0001364863661988</v>
      </c>
      <c r="K2168" t="n">
        <v>0.969687057540644</v>
      </c>
      <c r="L2168" t="b">
        <v>0</v>
      </c>
      <c r="M2168" t="b">
        <v>0</v>
      </c>
      <c r="N2168" t="inlineStr">
        <is>
          <t>ref</t>
        </is>
      </c>
      <c r="O2168" t="n">
        <v>-100</v>
      </c>
      <c r="P2168" t="n">
        <v>0.01974</v>
      </c>
      <c r="Q2168" t="n">
        <v>35</v>
      </c>
      <c r="R2168" t="n">
        <v>0.07779999999999999</v>
      </c>
      <c r="S2168">
        <f>IMAGE("https://mitra.stanford.edu/kundaje/oak/projects/neuro-variants/variant_position/credible/roussos_2024/variant_figures/roussos_2024.adolescence.Astrocyte/rs10179134_count_position.png",4,220,900)</f>
        <v/>
      </c>
      <c r="T2168">
        <f>IMAGE("https://mitra.stanford.edu/kundaje/oak/projects/neuro-variants/variant_position/credible/roussos_2024/variant_figures/roussos_2024.adolescence.Astrocyte/rs10179134_profile_position.png",4,220,900)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0.34200768</v>
      </c>
      <c r="G2169" t="n">
        <v>0.0043650138564839</v>
      </c>
      <c r="H2169" t="n">
        <v>0.041750128882397</v>
      </c>
      <c r="I2169" t="n">
        <v>0.0081262415351016</v>
      </c>
      <c r="J2169" t="n">
        <v>0.1164414147108565</v>
      </c>
      <c r="K2169" t="n">
        <v>0.3029595192361585</v>
      </c>
      <c r="L2169" t="b">
        <v>1</v>
      </c>
      <c r="M2169" t="b">
        <v>1</v>
      </c>
      <c r="N2169" t="inlineStr">
        <is>
          <t>alt</t>
        </is>
      </c>
      <c r="O2169" t="n">
        <v>-20</v>
      </c>
      <c r="P2169" t="n">
        <v>0.00821</v>
      </c>
      <c r="Q2169" t="n">
        <v>-90</v>
      </c>
      <c r="R2169" t="n">
        <v>0.1382</v>
      </c>
      <c r="S2169">
        <f>IMAGE("https://mitra.stanford.edu/kundaje/oak/projects/neuro-variants/variant_position/credible/roussos_2024/variant_figures/roussos_2024.adolescence.Astrocyte/rs6753344_count_position.png",4,220,900)</f>
        <v/>
      </c>
      <c r="T2169">
        <f>IMAGE("https://mitra.stanford.edu/kundaje/oak/projects/neuro-variants/variant_position/credible/roussos_2024/variant_figures/roussos_2024.adolescence.Astrocyte/rs6753344_profile_position.png",4,220,900)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0.1750851199999999</v>
      </c>
      <c r="G2170" t="n">
        <v>0.0260811378794799</v>
      </c>
      <c r="H2170" t="n">
        <v>0.0283618427561976</v>
      </c>
      <c r="I2170" t="n">
        <v>0.0431302896036941</v>
      </c>
      <c r="J2170" t="n">
        <v>0.1593255793252825</v>
      </c>
      <c r="K2170" t="n">
        <v>0.2429528727837627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0.0155</v>
      </c>
      <c r="Q2170" t="n">
        <v>-50</v>
      </c>
      <c r="R2170" t="n">
        <v>0.1528</v>
      </c>
      <c r="S2170">
        <f>IMAGE("https://mitra.stanford.edu/kundaje/oak/projects/neuro-variants/variant_position/credible/roussos_2024/variant_figures/roussos_2024.adolescence.Astrocyte/rs6546837_count_position.png",4,220,900)</f>
        <v/>
      </c>
      <c r="T2170">
        <f>IMAGE("https://mitra.stanford.edu/kundaje/oak/projects/neuro-variants/variant_position/credible/roussos_2024/variant_figures/roussos_2024.adolescence.Astrocyte/rs6546837_profile_position.png",4,220,900)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0.001473055468</v>
      </c>
      <c r="G2171" t="n">
        <v>0.3975680790982928</v>
      </c>
      <c r="H2171" t="n">
        <v>0.0175578876931032</v>
      </c>
      <c r="I2171" t="n">
        <v>0.2049153285098358</v>
      </c>
      <c r="J2171" t="n">
        <v>0.0585289143399697</v>
      </c>
      <c r="K2171" t="n">
        <v>0.4128084256604062</v>
      </c>
      <c r="L2171" t="b">
        <v>0</v>
      </c>
      <c r="M2171" t="b">
        <v>0</v>
      </c>
      <c r="N2171" t="inlineStr">
        <is>
          <t>alt</t>
        </is>
      </c>
      <c r="O2171" t="n">
        <v>75</v>
      </c>
      <c r="P2171" t="n">
        <v>0.005272</v>
      </c>
      <c r="Q2171" t="n">
        <v>-75</v>
      </c>
      <c r="R2171" t="n">
        <v>0.168</v>
      </c>
      <c r="S2171">
        <f>IMAGE("https://mitra.stanford.edu/kundaje/oak/projects/neuro-variants/variant_position/credible/roussos_2024/variant_figures/roussos_2024.adolescence.Astrocyte/rs62151652_count_position.png",4,220,900)</f>
        <v/>
      </c>
      <c r="T2171">
        <f>IMAGE("https://mitra.stanford.edu/kundaje/oak/projects/neuro-variants/variant_position/credible/roussos_2024/variant_figures/roussos_2024.adolescence.Astrocyte/rs62151652_profile_position.png",4,220,900)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0.0367776794</v>
      </c>
      <c r="G2172" t="n">
        <v>0.3269524328255053</v>
      </c>
      <c r="H2172" t="n">
        <v>0.0131918610792466</v>
      </c>
      <c r="I2172" t="n">
        <v>0.4485986955409853</v>
      </c>
      <c r="J2172" t="n">
        <v>0.0822092988754709</v>
      </c>
      <c r="K2172" t="n">
        <v>0.3653722530250622</v>
      </c>
      <c r="L2172" t="b">
        <v>0</v>
      </c>
      <c r="M2172" t="b">
        <v>0</v>
      </c>
      <c r="N2172" t="inlineStr">
        <is>
          <t>alt</t>
        </is>
      </c>
      <c r="O2172" t="n">
        <v>100</v>
      </c>
      <c r="P2172" t="n">
        <v>0.0327</v>
      </c>
      <c r="Q2172" t="n">
        <v>-50</v>
      </c>
      <c r="R2172" t="n">
        <v>0.08344</v>
      </c>
      <c r="S2172">
        <f>IMAGE("https://mitra.stanford.edu/kundaje/oak/projects/neuro-variants/variant_position/credible/roussos_2024/variant_figures/roussos_2024.adolescence.Astrocyte/rs10195357_count_position.png",4,220,900)</f>
        <v/>
      </c>
      <c r="T2172">
        <f>IMAGE("https://mitra.stanford.edu/kundaje/oak/projects/neuro-variants/variant_position/credible/roussos_2024/variant_figures/roussos_2024.adolescence.Astrocyte/rs10195357_profile_position.png",4,220,900)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-0.0325513416</v>
      </c>
      <c r="G2173" t="n">
        <v>0.3829831456294543</v>
      </c>
      <c r="H2173" t="n">
        <v>0.0394006252250797</v>
      </c>
      <c r="I2173" t="n">
        <v>0.0102060057201655</v>
      </c>
      <c r="J2173" t="n">
        <v>0.0124195175503664</v>
      </c>
      <c r="K2173" t="n">
        <v>0.6438323108418461</v>
      </c>
      <c r="L2173" t="b">
        <v>1</v>
      </c>
      <c r="M2173" t="b">
        <v>0</v>
      </c>
      <c r="N2173" t="inlineStr">
        <is>
          <t>ref</t>
        </is>
      </c>
      <c r="O2173" t="n">
        <v>100</v>
      </c>
      <c r="P2173" t="n">
        <v>0.0975</v>
      </c>
      <c r="Q2173" t="n">
        <v>-30</v>
      </c>
      <c r="R2173" t="n">
        <v>0.1641</v>
      </c>
      <c r="S2173">
        <f>IMAGE("https://mitra.stanford.edu/kundaje/oak/projects/neuro-variants/variant_position/credible/roussos_2024/variant_figures/roussos_2024.adolescence.Astrocyte/rs13421462_count_position.png",4,220,900)</f>
        <v/>
      </c>
      <c r="T2173">
        <f>IMAGE("https://mitra.stanford.edu/kundaje/oak/projects/neuro-variants/variant_position/credible/roussos_2024/variant_figures/roussos_2024.adolescence.Astrocyte/rs13421462_profile_position.png",4,220,900)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0.00996277642</v>
      </c>
      <c r="G2174" t="n">
        <v>0.634059535404554</v>
      </c>
      <c r="H2174" t="n">
        <v>0.0243448501331435</v>
      </c>
      <c r="I2174" t="n">
        <v>0.069737575393653</v>
      </c>
      <c r="J2174" t="n">
        <v>0.0040137376494673</v>
      </c>
      <c r="K2174" t="n">
        <v>0.7655425211124393</v>
      </c>
      <c r="L2174" t="b">
        <v>0</v>
      </c>
      <c r="M2174" t="b">
        <v>0</v>
      </c>
      <c r="N2174" t="inlineStr">
        <is>
          <t>alt</t>
        </is>
      </c>
      <c r="O2174" t="n">
        <v>-100</v>
      </c>
      <c r="P2174" t="n">
        <v>0.137</v>
      </c>
      <c r="Q2174" t="n">
        <v>-100</v>
      </c>
      <c r="R2174" t="n">
        <v>0.08434999999999999</v>
      </c>
      <c r="S2174">
        <f>IMAGE("https://mitra.stanford.edu/kundaje/oak/projects/neuro-variants/variant_position/credible/roussos_2024/variant_figures/roussos_2024.adolescence.Astrocyte/rs13398956_count_position.png",4,220,900)</f>
        <v/>
      </c>
      <c r="T2174">
        <f>IMAGE("https://mitra.stanford.edu/kundaje/oak/projects/neuro-variants/variant_position/credible/roussos_2024/variant_figures/roussos_2024.adolescence.Astrocyte/rs13398956_profile_position.png",4,220,900)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0.0511216626</v>
      </c>
      <c r="G2175" t="n">
        <v>0.2305538041874427</v>
      </c>
      <c r="H2175" t="n">
        <v>0.0105225719748091</v>
      </c>
      <c r="I2175" t="n">
        <v>0.6910081960280383</v>
      </c>
      <c r="J2175" t="n">
        <v>0.0049068332195946</v>
      </c>
      <c r="K2175" t="n">
        <v>0.7506161425327812</v>
      </c>
      <c r="L2175" t="b">
        <v>0</v>
      </c>
      <c r="M2175" t="b">
        <v>0</v>
      </c>
      <c r="N2175" t="inlineStr">
        <is>
          <t>alt</t>
        </is>
      </c>
      <c r="O2175" t="n">
        <v>90</v>
      </c>
      <c r="P2175" t="n">
        <v>0.00396</v>
      </c>
      <c r="Q2175" t="n">
        <v>-70</v>
      </c>
      <c r="R2175" t="n">
        <v>0.1197</v>
      </c>
      <c r="S2175">
        <f>IMAGE("https://mitra.stanford.edu/kundaje/oak/projects/neuro-variants/variant_position/credible/roussos_2024/variant_figures/roussos_2024.adolescence.Astrocyte/rs73947808_count_position.png",4,220,900)</f>
        <v/>
      </c>
      <c r="T2175">
        <f>IMAGE("https://mitra.stanford.edu/kundaje/oak/projects/neuro-variants/variant_position/credible/roussos_2024/variant_figures/roussos_2024.adolescence.Astrocyte/rs73947808_profile_position.png",4,220,900)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0.0381412472</v>
      </c>
      <c r="G2176" t="n">
        <v>0.3296840638794125</v>
      </c>
      <c r="H2176" t="n">
        <v>0.0205413224393621</v>
      </c>
      <c r="I2176" t="n">
        <v>0.1252348374026101</v>
      </c>
      <c r="J2176" t="n">
        <v>0.0009190576506542</v>
      </c>
      <c r="K2176" t="n">
        <v>0.897534942718936</v>
      </c>
      <c r="L2176" t="b">
        <v>0</v>
      </c>
      <c r="M2176" t="b">
        <v>0</v>
      </c>
      <c r="N2176" t="inlineStr">
        <is>
          <t>alt</t>
        </is>
      </c>
      <c r="O2176" t="n">
        <v>65</v>
      </c>
      <c r="P2176" t="n">
        <v>0.00902</v>
      </c>
      <c r="Q2176" t="n">
        <v>65</v>
      </c>
      <c r="R2176" t="n">
        <v>0.194</v>
      </c>
      <c r="S2176">
        <f>IMAGE("https://mitra.stanford.edu/kundaje/oak/projects/neuro-variants/variant_position/credible/roussos_2024/variant_figures/roussos_2024.adolescence.Astrocyte/rs11693586_count_position.png",4,220,900)</f>
        <v/>
      </c>
      <c r="T2176">
        <f>IMAGE("https://mitra.stanford.edu/kundaje/oak/projects/neuro-variants/variant_position/credible/roussos_2024/variant_figures/roussos_2024.adolescence.Astrocyte/rs11693586_profile_position.png",4,220,900)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0.0428303012</v>
      </c>
      <c r="G2177" t="n">
        <v>0.305397177049051</v>
      </c>
      <c r="H2177" t="n">
        <v>0.016864145405728</v>
      </c>
      <c r="I2177" t="n">
        <v>0.2348478762222932</v>
      </c>
      <c r="J2177" t="n">
        <v>0.0010132629142806</v>
      </c>
      <c r="K2177" t="n">
        <v>0.892631895878337</v>
      </c>
      <c r="L2177" t="b">
        <v>0</v>
      </c>
      <c r="M2177" t="b">
        <v>0</v>
      </c>
      <c r="N2177" t="inlineStr">
        <is>
          <t>alt</t>
        </is>
      </c>
      <c r="O2177" t="n">
        <v>100</v>
      </c>
      <c r="P2177" t="n">
        <v>0.00855</v>
      </c>
      <c r="Q2177" t="n">
        <v>55</v>
      </c>
      <c r="R2177" t="n">
        <v>0.1201</v>
      </c>
      <c r="S2177">
        <f>IMAGE("https://mitra.stanford.edu/kundaje/oak/projects/neuro-variants/variant_position/credible/roussos_2024/variant_figures/roussos_2024.adolescence.Astrocyte/rs11693588_count_position.png",4,220,900)</f>
        <v/>
      </c>
      <c r="T2177">
        <f>IMAGE("https://mitra.stanford.edu/kundaje/oak/projects/neuro-variants/variant_position/credible/roussos_2024/variant_figures/roussos_2024.adolescence.Astrocyte/rs11693588_profile_position.png",4,220,900)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0.01979091</v>
      </c>
      <c r="G2178" t="n">
        <v>0.5450840735734946</v>
      </c>
      <c r="H2178" t="n">
        <v>0.0234116949556511</v>
      </c>
      <c r="I2178" t="n">
        <v>0.07938614082109099</v>
      </c>
      <c r="J2178" t="n">
        <v>0.002336587247426</v>
      </c>
      <c r="K2178" t="n">
        <v>0.8104003173625373</v>
      </c>
      <c r="L2178" t="b">
        <v>0</v>
      </c>
      <c r="M2178" t="b">
        <v>0</v>
      </c>
      <c r="N2178" t="inlineStr">
        <is>
          <t>alt</t>
        </is>
      </c>
      <c r="O2178" t="n">
        <v>95</v>
      </c>
      <c r="P2178" t="n">
        <v>0.002731</v>
      </c>
      <c r="Q2178" t="n">
        <v>-5</v>
      </c>
      <c r="R2178" t="n">
        <v>0.01074</v>
      </c>
      <c r="S2178">
        <f>IMAGE("https://mitra.stanford.edu/kundaje/oak/projects/neuro-variants/variant_position/credible/roussos_2024/variant_figures/roussos_2024.adolescence.Astrocyte/rs6711033_count_position.png",4,220,900)</f>
        <v/>
      </c>
      <c r="T2178">
        <f>IMAGE("https://mitra.stanford.edu/kundaje/oak/projects/neuro-variants/variant_position/credible/roussos_2024/variant_figures/roussos_2024.adolescence.Astrocyte/rs6711033_profile_position.png",4,220,900)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0.04338885984</v>
      </c>
      <c r="G2179" t="n">
        <v>0.3251011675208474</v>
      </c>
      <c r="H2179" t="n">
        <v>0.0156733398056017</v>
      </c>
      <c r="I2179" t="n">
        <v>0.2835451085182172</v>
      </c>
      <c r="J2179" t="n">
        <v>0.0019612497403791</v>
      </c>
      <c r="K2179" t="n">
        <v>0.838327491651551</v>
      </c>
      <c r="L2179" t="b">
        <v>0</v>
      </c>
      <c r="M2179" t="b">
        <v>0</v>
      </c>
      <c r="N2179" t="inlineStr">
        <is>
          <t>alt</t>
        </is>
      </c>
      <c r="O2179" t="n">
        <v>-100</v>
      </c>
      <c r="P2179" t="n">
        <v>0.009690000000000001</v>
      </c>
      <c r="Q2179" t="n">
        <v>-55</v>
      </c>
      <c r="R2179" t="n">
        <v>0.0629</v>
      </c>
      <c r="S2179">
        <f>IMAGE("https://mitra.stanford.edu/kundaje/oak/projects/neuro-variants/variant_position/credible/roussos_2024/variant_figures/roussos_2024.adolescence.Astrocyte/rs11884776_count_position.png",4,220,900)</f>
        <v/>
      </c>
      <c r="T2179">
        <f>IMAGE("https://mitra.stanford.edu/kundaje/oak/projects/neuro-variants/variant_position/credible/roussos_2024/variant_figures/roussos_2024.adolescence.Astrocyte/rs11884776_profile_position.png",4,220,900)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-0.01652650832</v>
      </c>
      <c r="G2180" t="n">
        <v>0.6262664411150562</v>
      </c>
      <c r="H2180" t="n">
        <v>0.0317173776123994</v>
      </c>
      <c r="I2180" t="n">
        <v>0.0248969586081308</v>
      </c>
      <c r="J2180" t="n">
        <v>0.1196851912292673</v>
      </c>
      <c r="K2180" t="n">
        <v>0.2905449899353786</v>
      </c>
      <c r="L2180" t="b">
        <v>0</v>
      </c>
      <c r="M2180" t="b">
        <v>0</v>
      </c>
      <c r="N2180" t="inlineStr">
        <is>
          <t>ref</t>
        </is>
      </c>
      <c r="O2180" t="n">
        <v>-100</v>
      </c>
      <c r="P2180" t="n">
        <v>0.02666</v>
      </c>
      <c r="Q2180" t="n">
        <v>100</v>
      </c>
      <c r="R2180" t="n">
        <v>0.08799999999999999</v>
      </c>
      <c r="S2180">
        <f>IMAGE("https://mitra.stanford.edu/kundaje/oak/projects/neuro-variants/variant_position/credible/roussos_2024/variant_figures/roussos_2024.adolescence.Astrocyte/rs6719753_count_position.png",4,220,900)</f>
        <v/>
      </c>
      <c r="T2180">
        <f>IMAGE("https://mitra.stanford.edu/kundaje/oak/projects/neuro-variants/variant_position/credible/roussos_2024/variant_figures/roussos_2024.adolescence.Astrocyte/rs6719753_profile_position.png",4,220,900)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-0.109778709</v>
      </c>
      <c r="G2181" t="n">
        <v>0.0725531326857288</v>
      </c>
      <c r="H2181" t="n">
        <v>0.0203052592463232</v>
      </c>
      <c r="I2181" t="n">
        <v>0.1390088003665301</v>
      </c>
      <c r="J2181" t="n">
        <v>0.0003070943239473</v>
      </c>
      <c r="K2181" t="n">
        <v>0.9520515922158576</v>
      </c>
      <c r="L2181" t="b">
        <v>0</v>
      </c>
      <c r="M2181" t="b">
        <v>0</v>
      </c>
      <c r="N2181" t="inlineStr">
        <is>
          <t>ref</t>
        </is>
      </c>
      <c r="O2181" t="n">
        <v>100</v>
      </c>
      <c r="P2181" t="n">
        <v>0.007042</v>
      </c>
      <c r="Q2181" t="n">
        <v>-85</v>
      </c>
      <c r="R2181" t="n">
        <v>0.1143</v>
      </c>
      <c r="S2181">
        <f>IMAGE("https://mitra.stanford.edu/kundaje/oak/projects/neuro-variants/variant_position/credible/roussos_2024/variant_figures/roussos_2024.adolescence.Astrocyte/rs13409668_count_position.png",4,220,900)</f>
        <v/>
      </c>
      <c r="T2181">
        <f>IMAGE("https://mitra.stanford.edu/kundaje/oak/projects/neuro-variants/variant_position/credible/roussos_2024/variant_figures/roussos_2024.adolescence.Astrocyte/rs13409668_profile_position.png",4,220,900)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-0.1708048012</v>
      </c>
      <c r="G2182" t="n">
        <v>0.0271345087896543</v>
      </c>
      <c r="H2182" t="n">
        <v>0.0239894047760182</v>
      </c>
      <c r="I2182" t="n">
        <v>0.0730228386837643</v>
      </c>
      <c r="J2182" t="n">
        <v>0.0210515384387146</v>
      </c>
      <c r="K2182" t="n">
        <v>0.5669844801889207</v>
      </c>
      <c r="L2182" t="b">
        <v>0</v>
      </c>
      <c r="M2182" t="b">
        <v>0</v>
      </c>
      <c r="N2182" t="inlineStr">
        <is>
          <t>ref</t>
        </is>
      </c>
      <c r="O2182" t="n">
        <v>5</v>
      </c>
      <c r="P2182" t="n">
        <v>0.001465</v>
      </c>
      <c r="Q2182" t="n">
        <v>-95</v>
      </c>
      <c r="R2182" t="n">
        <v>0.0337</v>
      </c>
      <c r="S2182">
        <f>IMAGE("https://mitra.stanford.edu/kundaje/oak/projects/neuro-variants/variant_position/credible/roussos_2024/variant_figures/roussos_2024.adolescence.Astrocyte/rs7566385_count_position.png",4,220,900)</f>
        <v/>
      </c>
      <c r="T2182">
        <f>IMAGE("https://mitra.stanford.edu/kundaje/oak/projects/neuro-variants/variant_position/credible/roussos_2024/variant_figures/roussos_2024.adolescence.Astrocyte/rs7566385_profile_position.png",4,220,900)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0.0359667823999999</v>
      </c>
      <c r="G2183" t="n">
        <v>0.3509239192696393</v>
      </c>
      <c r="H2183" t="n">
        <v>0.0224964602668055</v>
      </c>
      <c r="I2183" t="n">
        <v>0.0926572816423757</v>
      </c>
      <c r="J2183" t="n">
        <v>0.0012498887339405</v>
      </c>
      <c r="K2183" t="n">
        <v>0.8595031344704758</v>
      </c>
      <c r="L2183" t="b">
        <v>0</v>
      </c>
      <c r="M2183" t="b">
        <v>0</v>
      </c>
      <c r="N2183" t="inlineStr">
        <is>
          <t>alt</t>
        </is>
      </c>
      <c r="O2183" t="n">
        <v>30</v>
      </c>
      <c r="P2183" t="n">
        <v>0.001457</v>
      </c>
      <c r="Q2183" t="n">
        <v>-60</v>
      </c>
      <c r="R2183" t="n">
        <v>0.05286</v>
      </c>
      <c r="S2183">
        <f>IMAGE("https://mitra.stanford.edu/kundaje/oak/projects/neuro-variants/variant_position/credible/roussos_2024/variant_figures/roussos_2024.adolescence.Astrocyte/rs13431267_count_position.png",4,220,900)</f>
        <v/>
      </c>
      <c r="T2183">
        <f>IMAGE("https://mitra.stanford.edu/kundaje/oak/projects/neuro-variants/variant_position/credible/roussos_2024/variant_figures/roussos_2024.adolescence.Astrocyte/rs13431267_profile_position.png",4,220,900)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-0.1357876348</v>
      </c>
      <c r="G2184" t="n">
        <v>0.0467197384737881</v>
      </c>
      <c r="H2184" t="n">
        <v>0.0177203716672479</v>
      </c>
      <c r="I2184" t="n">
        <v>0.1986867278225986</v>
      </c>
      <c r="J2184" t="n">
        <v>0.1553303860190487</v>
      </c>
      <c r="K2184" t="n">
        <v>0.2463887137480157</v>
      </c>
      <c r="L2184" t="b">
        <v>0</v>
      </c>
      <c r="M2184" t="b">
        <v>0</v>
      </c>
      <c r="N2184" t="inlineStr">
        <is>
          <t>ref</t>
        </is>
      </c>
      <c r="O2184" t="n">
        <v>-55</v>
      </c>
      <c r="P2184" t="n">
        <v>0.006874</v>
      </c>
      <c r="Q2184" t="n">
        <v>90</v>
      </c>
      <c r="R2184" t="n">
        <v>0.2651</v>
      </c>
      <c r="S2184">
        <f>IMAGE("https://mitra.stanford.edu/kundaje/oak/projects/neuro-variants/variant_position/credible/roussos_2024/variant_figures/roussos_2024.adolescence.Astrocyte/rs7604682_count_position.png",4,220,900)</f>
        <v/>
      </c>
      <c r="T2184">
        <f>IMAGE("https://mitra.stanford.edu/kundaje/oak/projects/neuro-variants/variant_position/credible/roussos_2024/variant_figures/roussos_2024.adolescence.Astrocyte/rs7604682_profile_position.png",4,220,900)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0.0491640454</v>
      </c>
      <c r="G2185" t="n">
        <v>0.239537303621081</v>
      </c>
      <c r="H2185" t="n">
        <v>0.0159154262441919</v>
      </c>
      <c r="I2185" t="n">
        <v>0.2765578260954175</v>
      </c>
      <c r="J2185" t="n">
        <v>0.238467643829926</v>
      </c>
      <c r="K2185" t="n">
        <v>0.1718409596807143</v>
      </c>
      <c r="L2185" t="b">
        <v>0</v>
      </c>
      <c r="M2185" t="b">
        <v>0</v>
      </c>
      <c r="N2185" t="inlineStr">
        <is>
          <t>alt</t>
        </is>
      </c>
      <c r="O2185" t="n">
        <v>100</v>
      </c>
      <c r="P2185" t="n">
        <v>0.00835</v>
      </c>
      <c r="Q2185" t="n">
        <v>-10</v>
      </c>
      <c r="R2185" t="n">
        <v>0.03662</v>
      </c>
      <c r="S2185">
        <f>IMAGE("https://mitra.stanford.edu/kundaje/oak/projects/neuro-variants/variant_position/credible/roussos_2024/variant_figures/roussos_2024.adolescence.Astrocyte/rs7580750_count_position.png",4,220,900)</f>
        <v/>
      </c>
      <c r="T2185">
        <f>IMAGE("https://mitra.stanford.edu/kundaje/oak/projects/neuro-variants/variant_position/credible/roussos_2024/variant_figures/roussos_2024.adolescence.Astrocyte/rs7580750_profile_position.png",4,220,900)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0.0178117732</v>
      </c>
      <c r="G2186" t="n">
        <v>0.5796476403209759</v>
      </c>
      <c r="H2186" t="n">
        <v>0.0253922820475486</v>
      </c>
      <c r="I2186" t="n">
        <v>0.0592956904225771</v>
      </c>
      <c r="J2186" t="n">
        <v>0.0002069548704862</v>
      </c>
      <c r="K2186" t="n">
        <v>0.9559486326542462</v>
      </c>
      <c r="L2186" t="b">
        <v>0</v>
      </c>
      <c r="M2186" t="b">
        <v>0</v>
      </c>
      <c r="N2186" t="inlineStr">
        <is>
          <t>alt</t>
        </is>
      </c>
      <c r="O2186" t="n">
        <v>80</v>
      </c>
      <c r="P2186" t="n">
        <v>0.03015</v>
      </c>
      <c r="Q2186" t="n">
        <v>0</v>
      </c>
      <c r="R2186" t="n">
        <v>0</v>
      </c>
      <c r="S2186">
        <f>IMAGE("https://mitra.stanford.edu/kundaje/oak/projects/neuro-variants/variant_position/credible/roussos_2024/variant_figures/roussos_2024.adolescence.Astrocyte/rs6735946_count_position.png",4,220,900)</f>
        <v/>
      </c>
      <c r="T2186">
        <f>IMAGE("https://mitra.stanford.edu/kundaje/oak/projects/neuro-variants/variant_position/credible/roussos_2024/variant_figures/roussos_2024.adolescence.Astrocyte/rs6735946_profile_position.png",4,220,900)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-0.0096100841999999</v>
      </c>
      <c r="G2187" t="n">
        <v>0.6109023984781888</v>
      </c>
      <c r="H2187" t="n">
        <v>0.009380206600112699</v>
      </c>
      <c r="I2187" t="n">
        <v>0.8110278426540145</v>
      </c>
      <c r="J2187" t="n">
        <v>0.0005526214283594</v>
      </c>
      <c r="K2187" t="n">
        <v>0.9139910167791248</v>
      </c>
      <c r="L2187" t="b">
        <v>0</v>
      </c>
      <c r="M2187" t="b">
        <v>0</v>
      </c>
      <c r="N2187" t="inlineStr">
        <is>
          <t>ref</t>
        </is>
      </c>
      <c r="O2187" t="n">
        <v>-90</v>
      </c>
      <c r="P2187" t="n">
        <v>0.01868</v>
      </c>
      <c r="Q2187" t="n">
        <v>-85</v>
      </c>
      <c r="R2187" t="n">
        <v>0.0697</v>
      </c>
      <c r="S2187">
        <f>IMAGE("https://mitra.stanford.edu/kundaje/oak/projects/neuro-variants/variant_position/credible/roussos_2024/variant_figures/roussos_2024.adolescence.Astrocyte/rs10197755_count_position.png",4,220,900)</f>
        <v/>
      </c>
      <c r="T2187">
        <f>IMAGE("https://mitra.stanford.edu/kundaje/oak/projects/neuro-variants/variant_position/credible/roussos_2024/variant_figures/roussos_2024.adolescence.Astrocyte/rs10197755_profile_position.png",4,220,900)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0.03804113606</v>
      </c>
      <c r="G2188" t="n">
        <v>0.3384553414244475</v>
      </c>
      <c r="H2188" t="n">
        <v>0.0130349530698538</v>
      </c>
      <c r="I2188" t="n">
        <v>0.4689908731839012</v>
      </c>
      <c r="J2188" t="n">
        <v>0.0005184998368097</v>
      </c>
      <c r="K2188" t="n">
        <v>0.9193500658551388</v>
      </c>
      <c r="L2188" t="b">
        <v>0</v>
      </c>
      <c r="M2188" t="b">
        <v>0</v>
      </c>
      <c r="N2188" t="inlineStr">
        <is>
          <t>alt</t>
        </is>
      </c>
      <c r="O2188" t="n">
        <v>85</v>
      </c>
      <c r="P2188" t="n">
        <v>0.01005</v>
      </c>
      <c r="Q2188" t="n">
        <v>100</v>
      </c>
      <c r="R2188" t="n">
        <v>0.05893</v>
      </c>
      <c r="S2188">
        <f>IMAGE("https://mitra.stanford.edu/kundaje/oak/projects/neuro-variants/variant_position/credible/roussos_2024/variant_figures/roussos_2024.adolescence.Astrocyte/rs7583255_count_position.png",4,220,900)</f>
        <v/>
      </c>
      <c r="T2188">
        <f>IMAGE("https://mitra.stanford.edu/kundaje/oak/projects/neuro-variants/variant_position/credible/roussos_2024/variant_figures/roussos_2024.adolescence.Astrocyte/rs7583255_profile_position.png",4,220,900)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-0.022022335</v>
      </c>
      <c r="G2189" t="n">
        <v>0.3786626924687715</v>
      </c>
      <c r="H2189" t="n">
        <v>0.0228830711107559</v>
      </c>
      <c r="I2189" t="n">
        <v>0.0866531001034616</v>
      </c>
      <c r="J2189" t="n">
        <v>0.0002559119366228</v>
      </c>
      <c r="K2189" t="n">
        <v>0.9620416234327756</v>
      </c>
      <c r="L2189" t="b">
        <v>0</v>
      </c>
      <c r="M2189" t="b">
        <v>0</v>
      </c>
      <c r="N2189" t="inlineStr">
        <is>
          <t>ref</t>
        </is>
      </c>
      <c r="O2189" t="n">
        <v>100</v>
      </c>
      <c r="P2189" t="n">
        <v>0.01422</v>
      </c>
      <c r="Q2189" t="n">
        <v>45</v>
      </c>
      <c r="R2189" t="n">
        <v>0.03906</v>
      </c>
      <c r="S2189">
        <f>IMAGE("https://mitra.stanford.edu/kundaje/oak/projects/neuro-variants/variant_position/credible/roussos_2024/variant_figures/roussos_2024.adolescence.Astrocyte/rs7558944_count_position.png",4,220,900)</f>
        <v/>
      </c>
      <c r="T2189">
        <f>IMAGE("https://mitra.stanford.edu/kundaje/oak/projects/neuro-variants/variant_position/credible/roussos_2024/variant_figures/roussos_2024.adolescence.Astrocyte/rs7558944_profile_position.png",4,220,900)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-0.009798040439999999</v>
      </c>
      <c r="G2190" t="n">
        <v>0.4563792154746338</v>
      </c>
      <c r="H2190" t="n">
        <v>0.0107871955880911</v>
      </c>
      <c r="I2190" t="n">
        <v>0.6798031790433472</v>
      </c>
      <c r="J2190" t="n">
        <v>0.0041991810818027</v>
      </c>
      <c r="K2190" t="n">
        <v>0.7706583669168742</v>
      </c>
      <c r="L2190" t="b">
        <v>0</v>
      </c>
      <c r="M2190" t="b">
        <v>0</v>
      </c>
      <c r="N2190" t="inlineStr">
        <is>
          <t>ref</t>
        </is>
      </c>
      <c r="O2190" t="n">
        <v>-45</v>
      </c>
      <c r="P2190" t="n">
        <v>0.009894999999999999</v>
      </c>
      <c r="Q2190" t="n">
        <v>-45</v>
      </c>
      <c r="R2190" t="n">
        <v>0.04126</v>
      </c>
      <c r="S2190">
        <f>IMAGE("https://mitra.stanford.edu/kundaje/oak/projects/neuro-variants/variant_position/credible/roussos_2024/variant_figures/roussos_2024.adolescence.Astrocyte/rs11903916_count_position.png",4,220,900)</f>
        <v/>
      </c>
      <c r="T2190">
        <f>IMAGE("https://mitra.stanford.edu/kundaje/oak/projects/neuro-variants/variant_position/credible/roussos_2024/variant_figures/roussos_2024.adolescence.Astrocyte/rs11903916_profile_position.png",4,220,900)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-0.058514981</v>
      </c>
      <c r="G2191" t="n">
        <v>0.1903645601348474</v>
      </c>
      <c r="H2191" t="n">
        <v>0.0160717188871886</v>
      </c>
      <c r="I2191" t="n">
        <v>0.268747584836408</v>
      </c>
      <c r="J2191" t="n">
        <v>0.0004992137198468</v>
      </c>
      <c r="K2191" t="n">
        <v>0.91739396081637</v>
      </c>
      <c r="L2191" t="b">
        <v>0</v>
      </c>
      <c r="M2191" t="b">
        <v>0</v>
      </c>
      <c r="N2191" t="inlineStr">
        <is>
          <t>ref</t>
        </is>
      </c>
      <c r="O2191" t="n">
        <v>-25</v>
      </c>
      <c r="P2191" t="n">
        <v>0.00386</v>
      </c>
      <c r="Q2191" t="n">
        <v>-30</v>
      </c>
      <c r="R2191" t="n">
        <v>0.02386</v>
      </c>
      <c r="S2191">
        <f>IMAGE("https://mitra.stanford.edu/kundaje/oak/projects/neuro-variants/variant_position/credible/roussos_2024/variant_figures/roussos_2024.adolescence.Astrocyte/rs7603647_count_position.png",4,220,900)</f>
        <v/>
      </c>
      <c r="T2191">
        <f>IMAGE("https://mitra.stanford.edu/kundaje/oak/projects/neuro-variants/variant_position/credible/roussos_2024/variant_figures/roussos_2024.adolescence.Astrocyte/rs7603647_profile_position.png",4,220,900)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0.0450849579999999</v>
      </c>
      <c r="G2192" t="n">
        <v>0.137277241698335</v>
      </c>
      <c r="H2192" t="n">
        <v>0.0185071181626911</v>
      </c>
      <c r="I2192" t="n">
        <v>0.1822536412785497</v>
      </c>
      <c r="J2192" t="n">
        <v>0.4217028157730765</v>
      </c>
      <c r="K2192" t="n">
        <v>0.0780056526290183</v>
      </c>
      <c r="L2192" t="b">
        <v>0</v>
      </c>
      <c r="M2192" t="b">
        <v>0</v>
      </c>
      <c r="N2192" t="inlineStr">
        <is>
          <t>alt</t>
        </is>
      </c>
      <c r="O2192" t="n">
        <v>-100</v>
      </c>
      <c r="P2192" t="n">
        <v>0.0731</v>
      </c>
      <c r="Q2192" t="n">
        <v>-100</v>
      </c>
      <c r="R2192" t="n">
        <v>0.2451</v>
      </c>
      <c r="S2192">
        <f>IMAGE("https://mitra.stanford.edu/kundaje/oak/projects/neuro-variants/variant_position/credible/roussos_2024/variant_figures/roussos_2024.adolescence.Astrocyte/rs6546856_count_position.png",4,220,900)</f>
        <v/>
      </c>
      <c r="T2192">
        <f>IMAGE("https://mitra.stanford.edu/kundaje/oak/projects/neuro-variants/variant_position/credible/roussos_2024/variant_figures/roussos_2024.adolescence.Astrocyte/rs6546856_profile_position.png",4,220,900)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-0.10498537</v>
      </c>
      <c r="G2193" t="n">
        <v>0.08106673366716</v>
      </c>
      <c r="H2193" t="n">
        <v>0.021010864521159</v>
      </c>
      <c r="I2193" t="n">
        <v>0.1311492640531344</v>
      </c>
      <c r="J2193" t="n">
        <v>0.0172803607987419</v>
      </c>
      <c r="K2193" t="n">
        <v>0.6017599983765983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0.05988</v>
      </c>
      <c r="Q2193" t="n">
        <v>-90</v>
      </c>
      <c r="R2193" t="n">
        <v>0.1837</v>
      </c>
      <c r="S2193">
        <f>IMAGE("https://mitra.stanford.edu/kundaje/oak/projects/neuro-variants/variant_position/credible/roussos_2024/variant_figures/roussos_2024.adolescence.Astrocyte/rs13407231_count_position.png",4,220,900)</f>
        <v/>
      </c>
      <c r="T2193">
        <f>IMAGE("https://mitra.stanford.edu/kundaje/oak/projects/neuro-variants/variant_position/credible/roussos_2024/variant_figures/roussos_2024.adolescence.Astrocyte/rs13407231_profile_position.png",4,220,900)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0.0307278666</v>
      </c>
      <c r="G2194" t="n">
        <v>0.3994819298620194</v>
      </c>
      <c r="H2194" t="n">
        <v>0.0118192050324197</v>
      </c>
      <c r="I2194" t="n">
        <v>0.5573131154878525</v>
      </c>
      <c r="J2194" t="n">
        <v>0.0179509242500667</v>
      </c>
      <c r="K2194" t="n">
        <v>0.601402530914201</v>
      </c>
      <c r="L2194" t="b">
        <v>0</v>
      </c>
      <c r="M2194" t="b">
        <v>0</v>
      </c>
      <c r="N2194" t="inlineStr">
        <is>
          <t>alt</t>
        </is>
      </c>
      <c r="O2194" t="n">
        <v>10</v>
      </c>
      <c r="P2194" t="n">
        <v>0.006996</v>
      </c>
      <c r="Q2194" t="n">
        <v>-30</v>
      </c>
      <c r="R2194" t="n">
        <v>0.0638</v>
      </c>
      <c r="S2194">
        <f>IMAGE("https://mitra.stanford.edu/kundaje/oak/projects/neuro-variants/variant_position/credible/roussos_2024/variant_figures/roussos_2024.adolescence.Astrocyte/rs17016552_count_position.png",4,220,900)</f>
        <v/>
      </c>
      <c r="T2194">
        <f>IMAGE("https://mitra.stanford.edu/kundaje/oak/projects/neuro-variants/variant_position/credible/roussos_2024/variant_figures/roussos_2024.adolescence.Astrocyte/rs17016552_profile_position.png",4,220,900)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0.0310311654</v>
      </c>
      <c r="G2195" t="n">
        <v>0.416428665449398</v>
      </c>
      <c r="H2195" t="n">
        <v>0.0110325569503053</v>
      </c>
      <c r="I2195" t="n">
        <v>0.6190333985642931</v>
      </c>
      <c r="J2195" t="n">
        <v>0.0435406343648932</v>
      </c>
      <c r="K2195" t="n">
        <v>0.4816502044713366</v>
      </c>
      <c r="L2195" t="b">
        <v>0</v>
      </c>
      <c r="M2195" t="b">
        <v>0</v>
      </c>
      <c r="N2195" t="inlineStr">
        <is>
          <t>alt</t>
        </is>
      </c>
      <c r="O2195" t="n">
        <v>100</v>
      </c>
      <c r="P2195" t="n">
        <v>0.002617</v>
      </c>
      <c r="Q2195" t="n">
        <v>-100</v>
      </c>
      <c r="R2195" t="n">
        <v>0.227</v>
      </c>
      <c r="S2195">
        <f>IMAGE("https://mitra.stanford.edu/kundaje/oak/projects/neuro-variants/variant_position/credible/roussos_2024/variant_figures/roussos_2024.adolescence.Astrocyte/rs13406464_count_position.png",4,220,900)</f>
        <v/>
      </c>
      <c r="T2195">
        <f>IMAGE("https://mitra.stanford.edu/kundaje/oak/projects/neuro-variants/variant_position/credible/roussos_2024/variant_figures/roussos_2024.adolescence.Astrocyte/rs13406464_profile_position.png",4,220,900)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-0.0452684764</v>
      </c>
      <c r="G2196" t="n">
        <v>0.2680479333510059</v>
      </c>
      <c r="H2196" t="n">
        <v>0.0184969938198967</v>
      </c>
      <c r="I2196" t="n">
        <v>0.1763695622392055</v>
      </c>
      <c r="J2196" t="n">
        <v>0.0037274129899415</v>
      </c>
      <c r="K2196" t="n">
        <v>0.7626858180688543</v>
      </c>
      <c r="L2196" t="b">
        <v>0</v>
      </c>
      <c r="M2196" t="b">
        <v>0</v>
      </c>
      <c r="N2196" t="inlineStr">
        <is>
          <t>ref</t>
        </is>
      </c>
      <c r="O2196" t="n">
        <v>90</v>
      </c>
      <c r="P2196" t="n">
        <v>0.01343</v>
      </c>
      <c r="Q2196" t="n">
        <v>100</v>
      </c>
      <c r="R2196" t="n">
        <v>0.1173</v>
      </c>
      <c r="S2196">
        <f>IMAGE("https://mitra.stanford.edu/kundaje/oak/projects/neuro-variants/variant_position/credible/roussos_2024/variant_figures/roussos_2024.adolescence.Astrocyte/rs4535062_count_position.png",4,220,900)</f>
        <v/>
      </c>
      <c r="T2196">
        <f>IMAGE("https://mitra.stanford.edu/kundaje/oak/projects/neuro-variants/variant_position/credible/roussos_2024/variant_figures/roussos_2024.adolescence.Astrocyte/rs4535062_profile_position.png",4,220,900)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0.0781472436</v>
      </c>
      <c r="G2197" t="n">
        <v>0.1475124768391499</v>
      </c>
      <c r="H2197" t="n">
        <v>0.0210745513987475</v>
      </c>
      <c r="I2197" t="n">
        <v>0.1158343298055159</v>
      </c>
      <c r="J2197" t="n">
        <v>0.0129068628905438</v>
      </c>
      <c r="K2197" t="n">
        <v>0.6465568071551834</v>
      </c>
      <c r="L2197" t="b">
        <v>0</v>
      </c>
      <c r="M2197" t="b">
        <v>0</v>
      </c>
      <c r="N2197" t="inlineStr">
        <is>
          <t>alt</t>
        </is>
      </c>
      <c r="O2197" t="n">
        <v>-75</v>
      </c>
      <c r="P2197" t="n">
        <v>0.0626</v>
      </c>
      <c r="Q2197" t="n">
        <v>-70</v>
      </c>
      <c r="R2197" t="n">
        <v>0.0762</v>
      </c>
      <c r="S2197">
        <f>IMAGE("https://mitra.stanford.edu/kundaje/oak/projects/neuro-variants/variant_position/credible/roussos_2024/variant_figures/roussos_2024.adolescence.Astrocyte/rs17029753_count_position.png",4,220,900)</f>
        <v/>
      </c>
      <c r="T2197">
        <f>IMAGE("https://mitra.stanford.edu/kundaje/oak/projects/neuro-variants/variant_position/credible/roussos_2024/variant_figures/roussos_2024.adolescence.Astrocyte/rs17029753_profile_position.png",4,220,900)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0.0503701884</v>
      </c>
      <c r="G2198" t="n">
        <v>0.2258532826973638</v>
      </c>
      <c r="H2198" t="n">
        <v>0.0114014320102018</v>
      </c>
      <c r="I2198" t="n">
        <v>0.6105895034450475</v>
      </c>
      <c r="J2198" t="n">
        <v>0.0029841557131412</v>
      </c>
      <c r="K2198" t="n">
        <v>0.7915370594893315</v>
      </c>
      <c r="L2198" t="b">
        <v>0</v>
      </c>
      <c r="M2198" t="b">
        <v>0</v>
      </c>
      <c r="N2198" t="inlineStr">
        <is>
          <t>alt</t>
        </is>
      </c>
      <c r="O2198" t="n">
        <v>100</v>
      </c>
      <c r="P2198" t="n">
        <v>0.006454</v>
      </c>
      <c r="Q2198" t="n">
        <v>45</v>
      </c>
      <c r="R2198" t="n">
        <v>0.1923</v>
      </c>
      <c r="S2198">
        <f>IMAGE("https://mitra.stanford.edu/kundaje/oak/projects/neuro-variants/variant_position/credible/roussos_2024/variant_figures/roussos_2024.adolescence.Astrocyte/rs60641243_count_position.png",4,220,900)</f>
        <v/>
      </c>
      <c r="T2198">
        <f>IMAGE("https://mitra.stanford.edu/kundaje/oak/projects/neuro-variants/variant_position/credible/roussos_2024/variant_figures/roussos_2024.adolescence.Astrocyte/rs60641243_profile_position.png",4,220,900)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0.08786613169999991</v>
      </c>
      <c r="G2199" t="n">
        <v>0.1320617550109252</v>
      </c>
      <c r="H2199" t="n">
        <v>0.0191041580077378</v>
      </c>
      <c r="I2199" t="n">
        <v>0.1615633383481328</v>
      </c>
      <c r="J2199" t="n">
        <v>0.1013107141797465</v>
      </c>
      <c r="K2199" t="n">
        <v>0.3269910382499681</v>
      </c>
      <c r="L2199" t="b">
        <v>0</v>
      </c>
      <c r="M2199" t="b">
        <v>0</v>
      </c>
      <c r="N2199" t="inlineStr">
        <is>
          <t>alt</t>
        </is>
      </c>
      <c r="O2199" t="n">
        <v>-5</v>
      </c>
      <c r="P2199" t="n">
        <v>0.001282</v>
      </c>
      <c r="Q2199" t="n">
        <v>-45</v>
      </c>
      <c r="R2199" t="n">
        <v>0.208</v>
      </c>
      <c r="S2199">
        <f>IMAGE("https://mitra.stanford.edu/kundaje/oak/projects/neuro-variants/variant_position/credible/roussos_2024/variant_figures/roussos_2024.adolescence.Astrocyte/rs7598321_count_position.png",4,220,900)</f>
        <v/>
      </c>
      <c r="T2199">
        <f>IMAGE("https://mitra.stanford.edu/kundaje/oak/projects/neuro-variants/variant_position/credible/roussos_2024/variant_figures/roussos_2024.adolescence.Astrocyte/rs7598321_profile_position.png",4,220,900)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0.00153358514</v>
      </c>
      <c r="G2200" t="n">
        <v>0.8174378089936031</v>
      </c>
      <c r="H2200" t="n">
        <v>0.027821543639424</v>
      </c>
      <c r="I2200" t="n">
        <v>0.0428281172758461</v>
      </c>
      <c r="J2200" t="n">
        <v>0.3826439782808652</v>
      </c>
      <c r="K2200" t="n">
        <v>0.0941861824791171</v>
      </c>
      <c r="L2200" t="b">
        <v>0</v>
      </c>
      <c r="M2200" t="b">
        <v>0</v>
      </c>
      <c r="N2200" t="inlineStr">
        <is>
          <t>alt</t>
        </is>
      </c>
      <c r="O2200" t="n">
        <v>35</v>
      </c>
      <c r="P2200" t="n">
        <v>0.010925</v>
      </c>
      <c r="Q2200" t="n">
        <v>85</v>
      </c>
      <c r="R2200" t="n">
        <v>0.163</v>
      </c>
      <c r="S2200">
        <f>IMAGE("https://mitra.stanford.edu/kundaje/oak/projects/neuro-variants/variant_position/credible/roussos_2024/variant_figures/roussos_2024.adolescence.Astrocyte/rs62152284_count_position.png",4,220,900)</f>
        <v/>
      </c>
      <c r="T2200">
        <f>IMAGE("https://mitra.stanford.edu/kundaje/oak/projects/neuro-variants/variant_position/credible/roussos_2024/variant_figures/roussos_2024.adolescence.Astrocyte/rs62152284_profile_position.png",4,220,900)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-0.01716583978</v>
      </c>
      <c r="G2201" t="n">
        <v>0.6125598456327647</v>
      </c>
      <c r="H2201" t="n">
        <v>0.007610273420613</v>
      </c>
      <c r="I2201" t="n">
        <v>0.948558229108834</v>
      </c>
      <c r="J2201" t="n">
        <v>0.0011193365575764</v>
      </c>
      <c r="K2201" t="n">
        <v>0.8754020409032706</v>
      </c>
      <c r="L2201" t="b">
        <v>0</v>
      </c>
      <c r="M2201" t="b">
        <v>0</v>
      </c>
      <c r="N2201" t="inlineStr">
        <is>
          <t>ref</t>
        </is>
      </c>
      <c r="O2201" t="n">
        <v>-100</v>
      </c>
      <c r="P2201" t="n">
        <v>0.004948</v>
      </c>
      <c r="Q2201" t="n">
        <v>70</v>
      </c>
      <c r="R2201" t="n">
        <v>0.0679</v>
      </c>
      <c r="S2201">
        <f>IMAGE("https://mitra.stanford.edu/kundaje/oak/projects/neuro-variants/variant_position/credible/roussos_2024/variant_figures/roussos_2024.adolescence.Astrocyte/rs112338729_count_position.png",4,220,900)</f>
        <v/>
      </c>
      <c r="T2201">
        <f>IMAGE("https://mitra.stanford.edu/kundaje/oak/projects/neuro-variants/variant_position/credible/roussos_2024/variant_figures/roussos_2024.adolescence.Astrocyte/rs112338729_profile_position.png",4,220,900)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0.0921841913005999</v>
      </c>
      <c r="G2202" t="n">
        <v>0.1084519521960207</v>
      </c>
      <c r="H2202" t="n">
        <v>0.0176261167920382</v>
      </c>
      <c r="I2202" t="n">
        <v>0.2036014740381905</v>
      </c>
      <c r="J2202" t="n">
        <v>0.0379098299854611</v>
      </c>
      <c r="K2202" t="n">
        <v>0.487490061326518</v>
      </c>
      <c r="L2202" t="b">
        <v>0</v>
      </c>
      <c r="M2202" t="b">
        <v>0</v>
      </c>
      <c r="N2202" t="inlineStr">
        <is>
          <t>alt</t>
        </is>
      </c>
      <c r="O2202" t="n">
        <v>-100</v>
      </c>
      <c r="P2202" t="n">
        <v>0.007904</v>
      </c>
      <c r="Q2202" t="n">
        <v>-100</v>
      </c>
      <c r="R2202" t="n">
        <v>0.1399</v>
      </c>
      <c r="S2202">
        <f>IMAGE("https://mitra.stanford.edu/kundaje/oak/projects/neuro-variants/variant_position/credible/roussos_2024/variant_figures/roussos_2024.adolescence.Astrocyte/rs6729836_count_position.png",4,220,900)</f>
        <v/>
      </c>
      <c r="T2202">
        <f>IMAGE("https://mitra.stanford.edu/kundaje/oak/projects/neuro-variants/variant_position/credible/roussos_2024/variant_figures/roussos_2024.adolescence.Astrocyte/rs6729836_profile_position.png",4,220,900)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0.0764090369999999</v>
      </c>
      <c r="G2203" t="n">
        <v>0.1210811634833569</v>
      </c>
      <c r="H2203" t="n">
        <v>0.0129536056086917</v>
      </c>
      <c r="I2203" t="n">
        <v>0.4717246370630792</v>
      </c>
      <c r="J2203" t="n">
        <v>0.0055403079844523</v>
      </c>
      <c r="K2203" t="n">
        <v>0.7255129096596956</v>
      </c>
      <c r="L2203" t="b">
        <v>0</v>
      </c>
      <c r="M2203" t="b">
        <v>0</v>
      </c>
      <c r="N2203" t="inlineStr">
        <is>
          <t>alt</t>
        </is>
      </c>
      <c r="O2203" t="n">
        <v>-85</v>
      </c>
      <c r="P2203" t="n">
        <v>0.00389</v>
      </c>
      <c r="Q2203" t="n">
        <v>-65</v>
      </c>
      <c r="R2203" t="n">
        <v>0.11426</v>
      </c>
      <c r="S2203">
        <f>IMAGE("https://mitra.stanford.edu/kundaje/oak/projects/neuro-variants/variant_position/credible/roussos_2024/variant_figures/roussos_2024.adolescence.Astrocyte/rs10203500_count_position.png",4,220,900)</f>
        <v/>
      </c>
      <c r="T2203">
        <f>IMAGE("https://mitra.stanford.edu/kundaje/oak/projects/neuro-variants/variant_position/credible/roussos_2024/variant_figures/roussos_2024.adolescence.Astrocyte/rs10203500_profile_position.png",4,220,900)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0.0215816668399999</v>
      </c>
      <c r="G2204" t="n">
        <v>0.439299901402496</v>
      </c>
      <c r="H2204" t="n">
        <v>0.0097336950485294</v>
      </c>
      <c r="I2204" t="n">
        <v>0.7751341444160216</v>
      </c>
      <c r="J2204" t="n">
        <v>0.0017913835563599</v>
      </c>
      <c r="K2204" t="n">
        <v>0.847293682467207</v>
      </c>
      <c r="L2204" t="b">
        <v>0</v>
      </c>
      <c r="M2204" t="b">
        <v>0</v>
      </c>
      <c r="N2204" t="inlineStr">
        <is>
          <t>alt</t>
        </is>
      </c>
      <c r="O2204" t="n">
        <v>-100</v>
      </c>
      <c r="P2204" t="n">
        <v>0.004173</v>
      </c>
      <c r="Q2204" t="n">
        <v>40</v>
      </c>
      <c r="R2204" t="n">
        <v>0.00403</v>
      </c>
      <c r="S2204">
        <f>IMAGE("https://mitra.stanford.edu/kundaje/oak/projects/neuro-variants/variant_position/credible/roussos_2024/variant_figures/roussos_2024.adolescence.Astrocyte/rs12692042_count_position.png",4,220,900)</f>
        <v/>
      </c>
      <c r="T2204">
        <f>IMAGE("https://mitra.stanford.edu/kundaje/oak/projects/neuro-variants/variant_position/credible/roussos_2024/variant_figures/roussos_2024.adolescence.Astrocyte/rs12692042_profile_position.png",4,220,900)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0.0084048437519999</v>
      </c>
      <c r="G2205" t="n">
        <v>0.7768011903572982</v>
      </c>
      <c r="H2205" t="n">
        <v>0.0268678754683689</v>
      </c>
      <c r="I2205" t="n">
        <v>0.0482501540288673</v>
      </c>
      <c r="J2205" t="n">
        <v>0.0017327834317419</v>
      </c>
      <c r="K2205" t="n">
        <v>0.8308380389450321</v>
      </c>
      <c r="L2205" t="b">
        <v>0</v>
      </c>
      <c r="M2205" t="b">
        <v>0</v>
      </c>
      <c r="N2205" t="inlineStr">
        <is>
          <t>alt</t>
        </is>
      </c>
      <c r="O2205" t="n">
        <v>5</v>
      </c>
      <c r="P2205" t="n">
        <v>0.00119</v>
      </c>
      <c r="Q2205" t="n">
        <v>-75</v>
      </c>
      <c r="R2205" t="n">
        <v>0.01587</v>
      </c>
      <c r="S2205">
        <f>IMAGE("https://mitra.stanford.edu/kundaje/oak/projects/neuro-variants/variant_position/credible/roussos_2024/variant_figures/roussos_2024.adolescence.Astrocyte/rs17477145_count_position.png",4,220,900)</f>
        <v/>
      </c>
      <c r="T2205">
        <f>IMAGE("https://mitra.stanford.edu/kundaje/oak/projects/neuro-variants/variant_position/credible/roussos_2024/variant_figures/roussos_2024.adolescence.Astrocyte/rs17477145_profile_position.png",4,220,900)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-0.0277629568</v>
      </c>
      <c r="G2206" t="n">
        <v>0.4450023554163437</v>
      </c>
      <c r="H2206" t="n">
        <v>0.0303765379873803</v>
      </c>
      <c r="I2206" t="n">
        <v>0.030587996611341</v>
      </c>
      <c r="J2206" t="n">
        <v>0.0018826217250689</v>
      </c>
      <c r="K2206" t="n">
        <v>0.8237083772061741</v>
      </c>
      <c r="L2206" t="b">
        <v>0</v>
      </c>
      <c r="M2206" t="b">
        <v>0</v>
      </c>
      <c r="N2206" t="inlineStr">
        <is>
          <t>ref</t>
        </is>
      </c>
      <c r="O2206" t="n">
        <v>-5</v>
      </c>
      <c r="P2206" t="n">
        <v>0.0003204</v>
      </c>
      <c r="Q2206" t="n">
        <v>-20</v>
      </c>
      <c r="R2206" t="n">
        <v>0.01758</v>
      </c>
      <c r="S2206">
        <f>IMAGE("https://mitra.stanford.edu/kundaje/oak/projects/neuro-variants/variant_position/credible/roussos_2024/variant_figures/roussos_2024.adolescence.Astrocyte/rs13386580_count_position.png",4,220,900)</f>
        <v/>
      </c>
      <c r="T2206">
        <f>IMAGE("https://mitra.stanford.edu/kundaje/oak/projects/neuro-variants/variant_position/credible/roussos_2024/variant_figures/roussos_2024.adolescence.Astrocyte/rs13386580_profile_position.png",4,220,900)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0.016271432</v>
      </c>
      <c r="G2207" t="n">
        <v>0.442836027390178</v>
      </c>
      <c r="H2207" t="n">
        <v>0.016302636724633</v>
      </c>
      <c r="I2207" t="n">
        <v>0.2567002163435186</v>
      </c>
      <c r="J2207" t="n">
        <v>0.0428255644898079</v>
      </c>
      <c r="K2207" t="n">
        <v>0.4687348803744258</v>
      </c>
      <c r="L2207" t="b">
        <v>0</v>
      </c>
      <c r="M2207" t="b">
        <v>0</v>
      </c>
      <c r="N2207" t="inlineStr">
        <is>
          <t>alt</t>
        </is>
      </c>
      <c r="O2207" t="n">
        <v>-100</v>
      </c>
      <c r="P2207" t="n">
        <v>0.07495</v>
      </c>
      <c r="Q2207" t="n">
        <v>-100</v>
      </c>
      <c r="R2207" t="n">
        <v>0.6367</v>
      </c>
      <c r="S2207">
        <f>IMAGE("https://mitra.stanford.edu/kundaje/oak/projects/neuro-variants/variant_position/credible/roussos_2024/variant_figures/roussos_2024.adolescence.Astrocyte/rs10208226_count_position.png",4,220,900)</f>
        <v/>
      </c>
      <c r="T2207">
        <f>IMAGE("https://mitra.stanford.edu/kundaje/oak/projects/neuro-variants/variant_position/credible/roussos_2024/variant_figures/roussos_2024.adolescence.Astrocyte/rs10208226_profile_position.png",4,220,900)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0.0474338501999999</v>
      </c>
      <c r="G2208" t="n">
        <v>0.2691600238210751</v>
      </c>
      <c r="H2208" t="n">
        <v>0.0141823279980732</v>
      </c>
      <c r="I2208" t="n">
        <v>0.3774303655717295</v>
      </c>
      <c r="J2208" t="n">
        <v>0.0032890247159006</v>
      </c>
      <c r="K2208" t="n">
        <v>0.8035797403205793</v>
      </c>
      <c r="L2208" t="b">
        <v>0</v>
      </c>
      <c r="M2208" t="b">
        <v>0</v>
      </c>
      <c r="N2208" t="inlineStr">
        <is>
          <t>alt</t>
        </is>
      </c>
      <c r="O2208" t="n">
        <v>-100</v>
      </c>
      <c r="P2208" t="n">
        <v>0.005127</v>
      </c>
      <c r="Q2208" t="n">
        <v>-55</v>
      </c>
      <c r="R2208" t="n">
        <v>0.02234</v>
      </c>
      <c r="S2208">
        <f>IMAGE("https://mitra.stanford.edu/kundaje/oak/projects/neuro-variants/variant_position/credible/roussos_2024/variant_figures/roussos_2024.adolescence.Astrocyte/rs1401123_count_position.png",4,220,900)</f>
        <v/>
      </c>
      <c r="T2208">
        <f>IMAGE("https://mitra.stanford.edu/kundaje/oak/projects/neuro-variants/variant_position/credible/roussos_2024/variant_figures/roussos_2024.adolescence.Astrocyte/rs1401123_profile_position.png",4,220,900)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-0.0114435486599999</v>
      </c>
      <c r="G2209" t="n">
        <v>0.708866487169691</v>
      </c>
      <c r="H2209" t="n">
        <v>0.0200777592531872</v>
      </c>
      <c r="I2209" t="n">
        <v>0.1340533952586199</v>
      </c>
      <c r="J2209" t="n">
        <v>0.0271593033261133</v>
      </c>
      <c r="K2209" t="n">
        <v>0.5390100108382208</v>
      </c>
      <c r="L2209" t="b">
        <v>0</v>
      </c>
      <c r="M2209" t="b">
        <v>0</v>
      </c>
      <c r="N2209" t="inlineStr">
        <is>
          <t>ref</t>
        </is>
      </c>
      <c r="O2209" t="n">
        <v>95</v>
      </c>
      <c r="P2209" t="n">
        <v>0.003319</v>
      </c>
      <c r="Q2209" t="n">
        <v>-70</v>
      </c>
      <c r="R2209" t="n">
        <v>0.11487</v>
      </c>
      <c r="S2209">
        <f>IMAGE("https://mitra.stanford.edu/kundaje/oak/projects/neuro-variants/variant_position/credible/roussos_2024/variant_figures/roussos_2024.adolescence.Astrocyte/rs10202846_count_position.png",4,220,900)</f>
        <v/>
      </c>
      <c r="T2209">
        <f>IMAGE("https://mitra.stanford.edu/kundaje/oak/projects/neuro-variants/variant_position/credible/roussos_2024/variant_figures/roussos_2024.adolescence.Astrocyte/rs10202846_profile_position.png",4,220,900)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-0.053484977</v>
      </c>
      <c r="G2210" t="n">
        <v>0.235364707393491</v>
      </c>
      <c r="H2210" t="n">
        <v>0.0109095563115231</v>
      </c>
      <c r="I2210" t="n">
        <v>0.6513940354527737</v>
      </c>
      <c r="J2210" t="n">
        <v>0.07225098655906</v>
      </c>
      <c r="K2210" t="n">
        <v>0.3783206694638008</v>
      </c>
      <c r="L2210" t="b">
        <v>0</v>
      </c>
      <c r="M2210" t="b">
        <v>0</v>
      </c>
      <c r="N2210" t="inlineStr">
        <is>
          <t>ref</t>
        </is>
      </c>
      <c r="O2210" t="n">
        <v>-95</v>
      </c>
      <c r="P2210" t="n">
        <v>0.002838</v>
      </c>
      <c r="Q2210" t="n">
        <v>70</v>
      </c>
      <c r="R2210" t="n">
        <v>0.05627</v>
      </c>
      <c r="S2210">
        <f>IMAGE("https://mitra.stanford.edu/kundaje/oak/projects/neuro-variants/variant_position/credible/roussos_2024/variant_figures/roussos_2024.adolescence.Astrocyte/rs9287360_count_position.png",4,220,900)</f>
        <v/>
      </c>
      <c r="T2210">
        <f>IMAGE("https://mitra.stanford.edu/kundaje/oak/projects/neuro-variants/variant_position/credible/roussos_2024/variant_figures/roussos_2024.adolescence.Astrocyte/rs9287360_profile_position.png",4,220,900)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-0.0471049622</v>
      </c>
      <c r="G2211" t="n">
        <v>0.2730114649600426</v>
      </c>
      <c r="H2211" t="n">
        <v>0.0352980488448528</v>
      </c>
      <c r="I2211" t="n">
        <v>0.0160095861711277</v>
      </c>
      <c r="J2211" t="n">
        <v>0.0362586416639468</v>
      </c>
      <c r="K2211" t="n">
        <v>0.4885355278758201</v>
      </c>
      <c r="L2211" t="b">
        <v>1</v>
      </c>
      <c r="M2211" t="b">
        <v>0</v>
      </c>
      <c r="N2211" t="inlineStr">
        <is>
          <t>ref</t>
        </is>
      </c>
      <c r="O2211" t="n">
        <v>85</v>
      </c>
      <c r="P2211" t="n">
        <v>0.01033</v>
      </c>
      <c r="Q2211" t="n">
        <v>20</v>
      </c>
      <c r="R2211" t="n">
        <v>0.1257</v>
      </c>
      <c r="S2211">
        <f>IMAGE("https://mitra.stanford.edu/kundaje/oak/projects/neuro-variants/variant_position/credible/roussos_2024/variant_figures/roussos_2024.adolescence.Astrocyte/rs67082009_count_position.png",4,220,900)</f>
        <v/>
      </c>
      <c r="T2211">
        <f>IMAGE("https://mitra.stanford.edu/kundaje/oak/projects/neuro-variants/variant_position/credible/roussos_2024/variant_figures/roussos_2024.adolescence.Astrocyte/rs67082009_profile_position.png",4,220,900)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-0.0416469501999999</v>
      </c>
      <c r="G2212" t="n">
        <v>0.3058284964064154</v>
      </c>
      <c r="H2212" t="n">
        <v>0.008714885743528401</v>
      </c>
      <c r="I2212" t="n">
        <v>0.8738503445281011</v>
      </c>
      <c r="J2212" t="n">
        <v>0.0551575527401121</v>
      </c>
      <c r="K2212" t="n">
        <v>0.4363102756483554</v>
      </c>
      <c r="L2212" t="b">
        <v>0</v>
      </c>
      <c r="M2212" t="b">
        <v>0</v>
      </c>
      <c r="N2212" t="inlineStr">
        <is>
          <t>ref</t>
        </is>
      </c>
      <c r="O2212" t="n">
        <v>-100</v>
      </c>
      <c r="P2212" t="n">
        <v>0.013245</v>
      </c>
      <c r="Q2212" t="n">
        <v>5</v>
      </c>
      <c r="R2212" t="n">
        <v>0.01282</v>
      </c>
      <c r="S2212">
        <f>IMAGE("https://mitra.stanford.edu/kundaje/oak/projects/neuro-variants/variant_position/credible/roussos_2024/variant_figures/roussos_2024.adolescence.Astrocyte/rs72857431_count_position.png",4,220,900)</f>
        <v/>
      </c>
      <c r="T2212">
        <f>IMAGE("https://mitra.stanford.edu/kundaje/oak/projects/neuro-variants/variant_position/credible/roussos_2024/variant_figures/roussos_2024.adolescence.Astrocyte/rs72857431_profile_position.png",4,220,900)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0.0329241391999999</v>
      </c>
      <c r="G2213" t="n">
        <v>0.3654822068850942</v>
      </c>
      <c r="H2213" t="n">
        <v>0.008776398741138501</v>
      </c>
      <c r="I2213" t="n">
        <v>0.8666554510696718</v>
      </c>
      <c r="J2213" t="n">
        <v>0.0126969409251401</v>
      </c>
      <c r="K2213" t="n">
        <v>0.6370236618836941</v>
      </c>
      <c r="L2213" t="b">
        <v>0</v>
      </c>
      <c r="M2213" t="b">
        <v>0</v>
      </c>
      <c r="N2213" t="inlineStr">
        <is>
          <t>alt</t>
        </is>
      </c>
      <c r="O2213" t="n">
        <v>-95</v>
      </c>
      <c r="P2213" t="n">
        <v>0.02574</v>
      </c>
      <c r="Q2213" t="n">
        <v>-100</v>
      </c>
      <c r="R2213" t="n">
        <v>0.1368</v>
      </c>
      <c r="S2213">
        <f>IMAGE("https://mitra.stanford.edu/kundaje/oak/projects/neuro-variants/variant_position/credible/roussos_2024/variant_figures/roussos_2024.adolescence.Astrocyte/rs72857434_count_position.png",4,220,900)</f>
        <v/>
      </c>
      <c r="T2213">
        <f>IMAGE("https://mitra.stanford.edu/kundaje/oak/projects/neuro-variants/variant_position/credible/roussos_2024/variant_figures/roussos_2024.adolescence.Astrocyte/rs72857434_profile_position.png",4,220,900)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0.0048622316</v>
      </c>
      <c r="G2214" t="n">
        <v>0.6239721966769535</v>
      </c>
      <c r="H2214" t="n">
        <v>0.015558429982127</v>
      </c>
      <c r="I2214" t="n">
        <v>0.2962476593659674</v>
      </c>
      <c r="J2214" t="n">
        <v>0.0077003530842951</v>
      </c>
      <c r="K2214" t="n">
        <v>0.6941447076647104</v>
      </c>
      <c r="L2214" t="b">
        <v>0</v>
      </c>
      <c r="M2214" t="b">
        <v>0</v>
      </c>
      <c r="N2214" t="inlineStr">
        <is>
          <t>alt</t>
        </is>
      </c>
      <c r="O2214" t="n">
        <v>-100</v>
      </c>
      <c r="P2214" t="n">
        <v>0.00776</v>
      </c>
      <c r="Q2214" t="n">
        <v>-45</v>
      </c>
      <c r="R2214" t="n">
        <v>0.0775</v>
      </c>
      <c r="S2214">
        <f>IMAGE("https://mitra.stanford.edu/kundaje/oak/projects/neuro-variants/variant_position/credible/roussos_2024/variant_figures/roussos_2024.adolescence.Astrocyte/rs6721450_count_position.png",4,220,900)</f>
        <v/>
      </c>
      <c r="T2214">
        <f>IMAGE("https://mitra.stanford.edu/kundaje/oak/projects/neuro-variants/variant_position/credible/roussos_2024/variant_figures/roussos_2024.adolescence.Astrocyte/rs6721450_profile_position.png",4,220,900)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0.008739374776</v>
      </c>
      <c r="G2215" t="n">
        <v>0.7510155993006637</v>
      </c>
      <c r="H2215" t="n">
        <v>0.0173550729107945</v>
      </c>
      <c r="I2215" t="n">
        <v>0.2172331883831305</v>
      </c>
      <c r="J2215" t="n">
        <v>0.0069125893837343</v>
      </c>
      <c r="K2215" t="n">
        <v>0.7397706308566466</v>
      </c>
      <c r="L2215" t="b">
        <v>0</v>
      </c>
      <c r="M2215" t="b">
        <v>0</v>
      </c>
      <c r="N2215" t="inlineStr">
        <is>
          <t>alt</t>
        </is>
      </c>
      <c r="O2215" t="n">
        <v>5</v>
      </c>
      <c r="P2215" t="n">
        <v>0.001408</v>
      </c>
      <c r="Q2215" t="n">
        <v>0</v>
      </c>
      <c r="R2215" t="n">
        <v>0</v>
      </c>
      <c r="S2215">
        <f>IMAGE("https://mitra.stanford.edu/kundaje/oak/projects/neuro-variants/variant_position/credible/roussos_2024/variant_figures/roussos_2024.adolescence.Astrocyte/rs34624969_count_position.png",4,220,900)</f>
        <v/>
      </c>
      <c r="T2215">
        <f>IMAGE("https://mitra.stanford.edu/kundaje/oak/projects/neuro-variants/variant_position/credible/roussos_2024/variant_figures/roussos_2024.adolescence.Astrocyte/rs34624969_profile_position.png",4,220,900)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-0.144873736</v>
      </c>
      <c r="G2216" t="n">
        <v>0.0373354812067142</v>
      </c>
      <c r="H2216" t="n">
        <v>0.0153274637459879</v>
      </c>
      <c r="I2216" t="n">
        <v>0.3065421753962643</v>
      </c>
      <c r="J2216" t="n">
        <v>0.0037741447348899</v>
      </c>
      <c r="K2216" t="n">
        <v>0.7764417918400751</v>
      </c>
      <c r="L2216" t="b">
        <v>0</v>
      </c>
      <c r="M2216" t="b">
        <v>0</v>
      </c>
      <c r="N2216" t="inlineStr">
        <is>
          <t>ref</t>
        </is>
      </c>
      <c r="O2216" t="n">
        <v>90</v>
      </c>
      <c r="P2216" t="n">
        <v>0.00328</v>
      </c>
      <c r="Q2216" t="n">
        <v>-80</v>
      </c>
      <c r="R2216" t="n">
        <v>0.01221</v>
      </c>
      <c r="S2216">
        <f>IMAGE("https://mitra.stanford.edu/kundaje/oak/projects/neuro-variants/variant_position/credible/roussos_2024/variant_figures/roussos_2024.adolescence.Astrocyte/rs4556924_count_position.png",4,220,900)</f>
        <v/>
      </c>
      <c r="T2216">
        <f>IMAGE("https://mitra.stanford.edu/kundaje/oak/projects/neuro-variants/variant_position/credible/roussos_2024/variant_figures/roussos_2024.adolescence.Astrocyte/rs4556924_profile_position.png",4,220,900)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-0.0050336431919999</v>
      </c>
      <c r="G2217" t="n">
        <v>0.7111233957948632</v>
      </c>
      <c r="H2217" t="n">
        <v>0.0235559361522216</v>
      </c>
      <c r="I2217" t="n">
        <v>0.0780127164798665</v>
      </c>
      <c r="J2217" t="n">
        <v>0.0012580482449633</v>
      </c>
      <c r="K2217" t="n">
        <v>0.8589213904660801</v>
      </c>
      <c r="L2217" t="b">
        <v>0</v>
      </c>
      <c r="M2217" t="b">
        <v>0</v>
      </c>
      <c r="N2217" t="inlineStr">
        <is>
          <t>ref</t>
        </is>
      </c>
      <c r="O2217" t="n">
        <v>80</v>
      </c>
      <c r="P2217" t="n">
        <v>0.006096</v>
      </c>
      <c r="Q2217" t="n">
        <v>-100</v>
      </c>
      <c r="R2217" t="n">
        <v>0.0809</v>
      </c>
      <c r="S2217">
        <f>IMAGE("https://mitra.stanford.edu/kundaje/oak/projects/neuro-variants/variant_position/credible/roussos_2024/variant_figures/roussos_2024.adolescence.Astrocyte/rs7559983_count_position.png",4,220,900)</f>
        <v/>
      </c>
      <c r="T2217">
        <f>IMAGE("https://mitra.stanford.edu/kundaje/oak/projects/neuro-variants/variant_position/credible/roussos_2024/variant_figures/roussos_2024.adolescence.Astrocyte/rs7559983_profile_position.png",4,220,900)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-0.00758430102</v>
      </c>
      <c r="G2218" t="n">
        <v>0.7401459219389993</v>
      </c>
      <c r="H2218" t="n">
        <v>0.0099241026737877</v>
      </c>
      <c r="I2218" t="n">
        <v>0.7541986721599109</v>
      </c>
      <c r="J2218" t="n">
        <v>0.0007046850428745</v>
      </c>
      <c r="K2218" t="n">
        <v>0.8923715068749608</v>
      </c>
      <c r="L2218" t="b">
        <v>0</v>
      </c>
      <c r="M2218" t="b">
        <v>0</v>
      </c>
      <c r="N2218" t="inlineStr">
        <is>
          <t>ref</t>
        </is>
      </c>
      <c r="O2218" t="n">
        <v>-20</v>
      </c>
      <c r="P2218" t="n">
        <v>0.00403</v>
      </c>
      <c r="Q2218" t="n">
        <v>-100</v>
      </c>
      <c r="R2218" t="n">
        <v>0.0929</v>
      </c>
      <c r="S2218">
        <f>IMAGE("https://mitra.stanford.edu/kundaje/oak/projects/neuro-variants/variant_position/credible/roussos_2024/variant_figures/roussos_2024.adolescence.Astrocyte/rs3934919_count_position.png",4,220,900)</f>
        <v/>
      </c>
      <c r="T2218">
        <f>IMAGE("https://mitra.stanford.edu/kundaje/oak/projects/neuro-variants/variant_position/credible/roussos_2024/variant_figures/roussos_2024.adolescence.Astrocyte/rs3934919_profile_position.png",4,220,900)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0.0017528432</v>
      </c>
      <c r="G2219" t="n">
        <v>0.842787753489355</v>
      </c>
      <c r="H2219" t="n">
        <v>0.0084490895439845</v>
      </c>
      <c r="I2219" t="n">
        <v>0.9005900521129335</v>
      </c>
      <c r="J2219" t="n">
        <v>0.0008419131828026</v>
      </c>
      <c r="K2219" t="n">
        <v>0.8965768966848852</v>
      </c>
      <c r="L2219" t="b">
        <v>0</v>
      </c>
      <c r="M2219" t="b">
        <v>0</v>
      </c>
      <c r="N2219" t="inlineStr">
        <is>
          <t>alt</t>
        </is>
      </c>
      <c r="O2219" t="n">
        <v>80</v>
      </c>
      <c r="P2219" t="n">
        <v>0.003618</v>
      </c>
      <c r="Q2219" t="n">
        <v>-20</v>
      </c>
      <c r="R2219" t="n">
        <v>0.01855</v>
      </c>
      <c r="S2219">
        <f>IMAGE("https://mitra.stanford.edu/kundaje/oak/projects/neuro-variants/variant_position/credible/roussos_2024/variant_figures/roussos_2024.adolescence.Astrocyte/rs13022139_count_position.png",4,220,900)</f>
        <v/>
      </c>
      <c r="T2219">
        <f>IMAGE("https://mitra.stanford.edu/kundaje/oak/projects/neuro-variants/variant_position/credible/roussos_2024/variant_figures/roussos_2024.adolescence.Astrocyte/rs13022139_profile_position.png",4,220,900)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0.0777692768</v>
      </c>
      <c r="G2220" t="n">
        <v>0.1313222789517863</v>
      </c>
      <c r="H2220" t="n">
        <v>0.017515998005797</v>
      </c>
      <c r="I2220" t="n">
        <v>0.2070237817770815</v>
      </c>
      <c r="J2220" t="n">
        <v>0.029909800314512</v>
      </c>
      <c r="K2220" t="n">
        <v>0.5152419358551918</v>
      </c>
      <c r="L2220" t="b">
        <v>0</v>
      </c>
      <c r="M2220" t="b">
        <v>0</v>
      </c>
      <c r="N2220" t="inlineStr">
        <is>
          <t>alt</t>
        </is>
      </c>
      <c r="O2220" t="n">
        <v>-90</v>
      </c>
      <c r="P2220" t="n">
        <v>0.00868</v>
      </c>
      <c r="Q2220" t="n">
        <v>70</v>
      </c>
      <c r="R2220" t="n">
        <v>0.0555</v>
      </c>
      <c r="S2220">
        <f>IMAGE("https://mitra.stanford.edu/kundaje/oak/projects/neuro-variants/variant_position/credible/roussos_2024/variant_figures/roussos_2024.adolescence.Astrocyte/rs2254296_count_position.png",4,220,900)</f>
        <v/>
      </c>
      <c r="T2220">
        <f>IMAGE("https://mitra.stanford.edu/kundaje/oak/projects/neuro-variants/variant_position/credible/roussos_2024/variant_figures/roussos_2024.adolescence.Astrocyte/rs2254296_profile_position.png",4,220,900)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-0.0063225273199999</v>
      </c>
      <c r="G2221" t="n">
        <v>0.7296916207664396</v>
      </c>
      <c r="H2221" t="n">
        <v>0.0322360901532633</v>
      </c>
      <c r="I2221" t="n">
        <v>0.0234492819717303</v>
      </c>
      <c r="J2221" t="n">
        <v>0.0052517580037384</v>
      </c>
      <c r="K2221" t="n">
        <v>0.7439291475096494</v>
      </c>
      <c r="L2221" t="b">
        <v>0</v>
      </c>
      <c r="M2221" t="b">
        <v>0</v>
      </c>
      <c r="N2221" t="inlineStr">
        <is>
          <t>ref</t>
        </is>
      </c>
      <c r="O2221" t="n">
        <v>70</v>
      </c>
      <c r="P2221" t="n">
        <v>0.00842</v>
      </c>
      <c r="Q2221" t="n">
        <v>-100</v>
      </c>
      <c r="R2221" t="n">
        <v>0.1534</v>
      </c>
      <c r="S2221">
        <f>IMAGE("https://mitra.stanford.edu/kundaje/oak/projects/neuro-variants/variant_position/credible/roussos_2024/variant_figures/roussos_2024.adolescence.Astrocyte/rs1451083_count_position.png",4,220,900)</f>
        <v/>
      </c>
      <c r="T2221">
        <f>IMAGE("https://mitra.stanford.edu/kundaje/oak/projects/neuro-variants/variant_position/credible/roussos_2024/variant_figures/roussos_2024.adolescence.Astrocyte/rs1451083_profile_position.png",4,220,900)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-0.165202748</v>
      </c>
      <c r="G2222" t="n">
        <v>0.0288861956644562</v>
      </c>
      <c r="H2222" t="n">
        <v>0.0136761489900413</v>
      </c>
      <c r="I2222" t="n">
        <v>0.41388089530625</v>
      </c>
      <c r="J2222" t="n">
        <v>0.1765065424442927</v>
      </c>
      <c r="K2222" t="n">
        <v>0.223850634884079</v>
      </c>
      <c r="L2222" t="b">
        <v>0</v>
      </c>
      <c r="M2222" t="b">
        <v>0</v>
      </c>
      <c r="N2222" t="inlineStr">
        <is>
          <t>ref</t>
        </is>
      </c>
      <c r="O2222" t="n">
        <v>35</v>
      </c>
      <c r="P2222" t="n">
        <v>0.008330000000000001</v>
      </c>
      <c r="Q2222" t="n">
        <v>30</v>
      </c>
      <c r="R2222" t="n">
        <v>0.0654</v>
      </c>
      <c r="S2222">
        <f>IMAGE("https://mitra.stanford.edu/kundaje/oak/projects/neuro-variants/variant_position/credible/roussos_2024/variant_figures/roussos_2024.adolescence.Astrocyte/rs6743215_count_position.png",4,220,900)</f>
        <v/>
      </c>
      <c r="T2222">
        <f>IMAGE("https://mitra.stanford.edu/kundaje/oak/projects/neuro-variants/variant_position/credible/roussos_2024/variant_figures/roussos_2024.adolescence.Astrocyte/rs6743215_profile_position.png",4,220,900)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-0.08164308499999989</v>
      </c>
      <c r="G2223" t="n">
        <v>0.1261422411301488</v>
      </c>
      <c r="H2223" t="n">
        <v>0.0105650625022317</v>
      </c>
      <c r="I2223" t="n">
        <v>0.6916652941742214</v>
      </c>
      <c r="J2223" t="n">
        <v>0.0001980535857341</v>
      </c>
      <c r="K2223" t="n">
        <v>0.9660475313169929</v>
      </c>
      <c r="L2223" t="b">
        <v>0</v>
      </c>
      <c r="M2223" t="b">
        <v>0</v>
      </c>
      <c r="N2223" t="inlineStr">
        <is>
          <t>ref</t>
        </is>
      </c>
      <c r="O2223" t="n">
        <v>65</v>
      </c>
      <c r="P2223" t="n">
        <v>0.002098</v>
      </c>
      <c r="Q2223" t="n">
        <v>-80</v>
      </c>
      <c r="R2223" t="n">
        <v>0.06909999999999999</v>
      </c>
      <c r="S2223">
        <f>IMAGE("https://mitra.stanford.edu/kundaje/oak/projects/neuro-variants/variant_position/credible/roussos_2024/variant_figures/roussos_2024.adolescence.Astrocyte/rs61064806_count_position.png",4,220,900)</f>
        <v/>
      </c>
      <c r="T2223">
        <f>IMAGE("https://mitra.stanford.edu/kundaje/oak/projects/neuro-variants/variant_position/credible/roussos_2024/variant_figures/roussos_2024.adolescence.Astrocyte/rs61064806_profile_position.png",4,220,900)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0.0018720914599999</v>
      </c>
      <c r="G2224" t="n">
        <v>0.8762456429231578</v>
      </c>
      <c r="H2224" t="n">
        <v>0.0305500301567311</v>
      </c>
      <c r="I2224" t="n">
        <v>0.0291268639529123</v>
      </c>
      <c r="J2224" t="n">
        <v>0.0022527668160103</v>
      </c>
      <c r="K2224" t="n">
        <v>0.8221842751944407</v>
      </c>
      <c r="L2224" t="b">
        <v>0</v>
      </c>
      <c r="M2224" t="b">
        <v>0</v>
      </c>
      <c r="N2224" t="inlineStr">
        <is>
          <t>alt</t>
        </is>
      </c>
      <c r="O2224" t="n">
        <v>30</v>
      </c>
      <c r="P2224" t="n">
        <v>0.01037</v>
      </c>
      <c r="Q2224" t="n">
        <v>60</v>
      </c>
      <c r="R2224" t="n">
        <v>0.0663</v>
      </c>
      <c r="S2224">
        <f>IMAGE("https://mitra.stanford.edu/kundaje/oak/projects/neuro-variants/variant_position/credible/roussos_2024/variant_figures/roussos_2024.adolescence.Astrocyte/rs4664536_count_position.png",4,220,900)</f>
        <v/>
      </c>
      <c r="T2224">
        <f>IMAGE("https://mitra.stanford.edu/kundaje/oak/projects/neuro-variants/variant_position/credible/roussos_2024/variant_figures/roussos_2024.adolescence.Astrocyte/rs4664536_profile_position.png",4,220,900)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-0.0158827464152</v>
      </c>
      <c r="G2225" t="n">
        <v>0.6096266049380989</v>
      </c>
      <c r="H2225" t="n">
        <v>0.0218524696387635</v>
      </c>
      <c r="I2225" t="n">
        <v>0.1059841028656909</v>
      </c>
      <c r="J2225" t="n">
        <v>0.1062894994510874</v>
      </c>
      <c r="K2225" t="n">
        <v>0.3222514476030689</v>
      </c>
      <c r="L2225" t="b">
        <v>0</v>
      </c>
      <c r="M2225" t="b">
        <v>0</v>
      </c>
      <c r="N2225" t="inlineStr">
        <is>
          <t>ref</t>
        </is>
      </c>
      <c r="O2225" t="n">
        <v>45</v>
      </c>
      <c r="P2225" t="n">
        <v>0.04614</v>
      </c>
      <c r="Q2225" t="n">
        <v>-95</v>
      </c>
      <c r="R2225" t="n">
        <v>0.03455</v>
      </c>
      <c r="S2225">
        <f>IMAGE("https://mitra.stanford.edu/kundaje/oak/projects/neuro-variants/variant_position/credible/roussos_2024/variant_figures/roussos_2024.adolescence.Astrocyte/rs191529620_count_position.png",4,220,900)</f>
        <v/>
      </c>
      <c r="T2225">
        <f>IMAGE("https://mitra.stanford.edu/kundaje/oak/projects/neuro-variants/variant_position/credible/roussos_2024/variant_figures/roussos_2024.adolescence.Astrocyte/rs191529620_profile_position.png",4,220,900)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-0.0185376453999999</v>
      </c>
      <c r="G2226" t="n">
        <v>0.5189014287342518</v>
      </c>
      <c r="H2226" t="n">
        <v>0.0061921831160044</v>
      </c>
      <c r="I2226" t="n">
        <v>0.9883439185253596</v>
      </c>
      <c r="J2226" t="n">
        <v>0.0646774767824822</v>
      </c>
      <c r="K2226" t="n">
        <v>0.4046827129460656</v>
      </c>
      <c r="L2226" t="b">
        <v>0</v>
      </c>
      <c r="M2226" t="b">
        <v>0</v>
      </c>
      <c r="N2226" t="inlineStr">
        <is>
          <t>ref</t>
        </is>
      </c>
      <c r="O2226" t="n">
        <v>55</v>
      </c>
      <c r="P2226" t="n">
        <v>0.0281</v>
      </c>
      <c r="Q2226" t="n">
        <v>-95</v>
      </c>
      <c r="R2226" t="n">
        <v>0.05713</v>
      </c>
      <c r="S2226">
        <f>IMAGE("https://mitra.stanford.edu/kundaje/oak/projects/neuro-variants/variant_position/credible/roussos_2024/variant_figures/roussos_2024.adolescence.Astrocyte/rs3963509_count_position.png",4,220,900)</f>
        <v/>
      </c>
      <c r="T2226">
        <f>IMAGE("https://mitra.stanford.edu/kundaje/oak/projects/neuro-variants/variant_position/credible/roussos_2024/variant_figures/roussos_2024.adolescence.Astrocyte/rs3963509_profile_position.png",4,220,900)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-0.024528891</v>
      </c>
      <c r="G2227" t="n">
        <v>0.502654199641853</v>
      </c>
      <c r="H2227" t="n">
        <v>0.0398353106837111</v>
      </c>
      <c r="I2227" t="n">
        <v>0.0097969596690723</v>
      </c>
      <c r="J2227" t="n">
        <v>0.0353707385099248</v>
      </c>
      <c r="K2227" t="n">
        <v>0.5084974195941532</v>
      </c>
      <c r="L2227" t="b">
        <v>1</v>
      </c>
      <c r="M2227" t="b">
        <v>0</v>
      </c>
      <c r="N2227" t="inlineStr">
        <is>
          <t>ref</t>
        </is>
      </c>
      <c r="O2227" t="n">
        <v>95</v>
      </c>
      <c r="P2227" t="n">
        <v>0.007557</v>
      </c>
      <c r="Q2227" t="n">
        <v>-95</v>
      </c>
      <c r="R2227" t="n">
        <v>0.386</v>
      </c>
      <c r="S2227">
        <f>IMAGE("https://mitra.stanford.edu/kundaje/oak/projects/neuro-variants/variant_position/credible/roussos_2024/variant_figures/roussos_2024.adolescence.Astrocyte/rs62177360_count_position.png",4,220,900)</f>
        <v/>
      </c>
      <c r="T2227">
        <f>IMAGE("https://mitra.stanford.edu/kundaje/oak/projects/neuro-variants/variant_position/credible/roussos_2024/variant_figures/roussos_2024.adolescence.Astrocyte/rs62177360_profile_position.png",4,220,900)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0.06379144972</v>
      </c>
      <c r="G2228" t="n">
        <v>0.2141838846418213</v>
      </c>
      <c r="H2228" t="n">
        <v>0.0229136963971828</v>
      </c>
      <c r="I2228" t="n">
        <v>0.0871598354001039</v>
      </c>
      <c r="J2228" t="n">
        <v>0.4903243034744681</v>
      </c>
      <c r="K2228" t="n">
        <v>0.0593007059031354</v>
      </c>
      <c r="L2228" t="b">
        <v>0</v>
      </c>
      <c r="M2228" t="b">
        <v>0</v>
      </c>
      <c r="N2228" t="inlineStr">
        <is>
          <t>alt</t>
        </is>
      </c>
      <c r="O2228" t="n">
        <v>100</v>
      </c>
      <c r="P2228" t="n">
        <v>0.0621</v>
      </c>
      <c r="Q2228" t="n">
        <v>80</v>
      </c>
      <c r="R2228" t="n">
        <v>0.5244</v>
      </c>
      <c r="S2228">
        <f>IMAGE("https://mitra.stanford.edu/kundaje/oak/projects/neuro-variants/variant_position/credible/roussos_2024/variant_figures/roussos_2024.adolescence.Astrocyte/rs6732917_count_position.png",4,220,900)</f>
        <v/>
      </c>
      <c r="T2228">
        <f>IMAGE("https://mitra.stanford.edu/kundaje/oak/projects/neuro-variants/variant_position/credible/roussos_2024/variant_figures/roussos_2024.adolescence.Astrocyte/rs6732917_profile_position.png",4,220,900)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0.01817972074</v>
      </c>
      <c r="G2229" t="n">
        <v>0.4768441136604807</v>
      </c>
      <c r="H2229" t="n">
        <v>0.0253203927897715</v>
      </c>
      <c r="I2229" t="n">
        <v>0.0601146510984919</v>
      </c>
      <c r="J2229" t="n">
        <v>0.0025109040738212</v>
      </c>
      <c r="K2229" t="n">
        <v>0.8075973241514465</v>
      </c>
      <c r="L2229" t="b">
        <v>0</v>
      </c>
      <c r="M2229" t="b">
        <v>0</v>
      </c>
      <c r="N2229" t="inlineStr">
        <is>
          <t>alt</t>
        </is>
      </c>
      <c r="O2229" t="n">
        <v>0</v>
      </c>
      <c r="P2229" t="n">
        <v>0</v>
      </c>
      <c r="Q2229" t="n">
        <v>0</v>
      </c>
      <c r="R2229" t="n">
        <v>0</v>
      </c>
      <c r="S2229">
        <f>IMAGE("https://mitra.stanford.edu/kundaje/oak/projects/neuro-variants/variant_position/credible/roussos_2024/variant_figures/roussos_2024.adolescence.Astrocyte/rs72865150_count_position.png",4,220,900)</f>
        <v/>
      </c>
      <c r="T2229">
        <f>IMAGE("https://mitra.stanford.edu/kundaje/oak/projects/neuro-variants/variant_position/credible/roussos_2024/variant_figures/roussos_2024.adolescence.Astrocyte/rs72865150_profile_position.png",4,220,900)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0.00547815234</v>
      </c>
      <c r="G2230" t="n">
        <v>0.8175301455006787</v>
      </c>
      <c r="H2230" t="n">
        <v>0.027606984936347</v>
      </c>
      <c r="I2230" t="n">
        <v>0.0434616334142941</v>
      </c>
      <c r="J2230" t="n">
        <v>0.001474646173931</v>
      </c>
      <c r="K2230" t="n">
        <v>0.8507673749355686</v>
      </c>
      <c r="L2230" t="b">
        <v>0</v>
      </c>
      <c r="M2230" t="b">
        <v>0</v>
      </c>
      <c r="N2230" t="inlineStr">
        <is>
          <t>alt</t>
        </is>
      </c>
      <c r="O2230" t="n">
        <v>80</v>
      </c>
      <c r="P2230" t="n">
        <v>0.004005</v>
      </c>
      <c r="Q2230" t="n">
        <v>100</v>
      </c>
      <c r="R2230" t="n">
        <v>0.0548</v>
      </c>
      <c r="S2230">
        <f>IMAGE("https://mitra.stanford.edu/kundaje/oak/projects/neuro-variants/variant_position/credible/roussos_2024/variant_figures/roussos_2024.adolescence.Astrocyte/rs34849522_count_position.png",4,220,900)</f>
        <v/>
      </c>
      <c r="T2230">
        <f>IMAGE("https://mitra.stanford.edu/kundaje/oak/projects/neuro-variants/variant_position/credible/roussos_2024/variant_figures/roussos_2024.adolescence.Astrocyte/rs34849522_profile_position.png",4,220,900)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0.0156921056</v>
      </c>
      <c r="G2231" t="n">
        <v>0.5435956840876094</v>
      </c>
      <c r="H2231" t="n">
        <v>0.007795706827531</v>
      </c>
      <c r="I2231" t="n">
        <v>0.9354532367315038</v>
      </c>
      <c r="J2231" t="n">
        <v>0.0022854048601014</v>
      </c>
      <c r="K2231" t="n">
        <v>0.8511125346294667</v>
      </c>
      <c r="L2231" t="b">
        <v>0</v>
      </c>
      <c r="M2231" t="b">
        <v>0</v>
      </c>
      <c r="N2231" t="inlineStr">
        <is>
          <t>alt</t>
        </is>
      </c>
      <c r="O2231" t="n">
        <v>100</v>
      </c>
      <c r="P2231" t="n">
        <v>0.00277</v>
      </c>
      <c r="Q2231" t="n">
        <v>25</v>
      </c>
      <c r="R2231" t="n">
        <v>0.0609</v>
      </c>
      <c r="S2231">
        <f>IMAGE("https://mitra.stanford.edu/kundaje/oak/projects/neuro-variants/variant_position/credible/roussos_2024/variant_figures/roussos_2024.adolescence.Astrocyte/rs62177111_count_position.png",4,220,900)</f>
        <v/>
      </c>
      <c r="T2231">
        <f>IMAGE("https://mitra.stanford.edu/kundaje/oak/projects/neuro-variants/variant_position/credible/roussos_2024/variant_figures/roussos_2024.adolescence.Astrocyte/rs62177111_profile_position.png",4,220,900)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0.1052940652</v>
      </c>
      <c r="G2232" t="n">
        <v>0.0773882766795297</v>
      </c>
      <c r="H2232" t="n">
        <v>0.0149769556107688</v>
      </c>
      <c r="I2232" t="n">
        <v>0.3241350077831857</v>
      </c>
      <c r="J2232" t="n">
        <v>0.0009457615049104</v>
      </c>
      <c r="K2232" t="n">
        <v>0.8873421330069141</v>
      </c>
      <c r="L2232" t="b">
        <v>0</v>
      </c>
      <c r="M2232" t="b">
        <v>0</v>
      </c>
      <c r="N2232" t="inlineStr">
        <is>
          <t>alt</t>
        </is>
      </c>
      <c r="O2232" t="n">
        <v>95</v>
      </c>
      <c r="P2232" t="n">
        <v>0.02289</v>
      </c>
      <c r="Q2232" t="n">
        <v>40</v>
      </c>
      <c r="R2232" t="n">
        <v>0.0953</v>
      </c>
      <c r="S2232">
        <f>IMAGE("https://mitra.stanford.edu/kundaje/oak/projects/neuro-variants/variant_position/credible/roussos_2024/variant_figures/roussos_2024.adolescence.Astrocyte/rs13019836_count_position.png",4,220,900)</f>
        <v/>
      </c>
      <c r="T2232">
        <f>IMAGE("https://mitra.stanford.edu/kundaje/oak/projects/neuro-variants/variant_position/credible/roussos_2024/variant_figures/roussos_2024.adolescence.Astrocyte/rs13019836_profile_position.png",4,220,900)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0.0170620128</v>
      </c>
      <c r="G2233" t="n">
        <v>0.5889301864276336</v>
      </c>
      <c r="H2233" t="n">
        <v>0.0217501088785384</v>
      </c>
      <c r="I2233" t="n">
        <v>0.1035723511143755</v>
      </c>
      <c r="J2233" t="n">
        <v>0.0416928760051033</v>
      </c>
      <c r="K2233" t="n">
        <v>0.4704731187244469</v>
      </c>
      <c r="L2233" t="b">
        <v>0</v>
      </c>
      <c r="M2233" t="b">
        <v>0</v>
      </c>
      <c r="N2233" t="inlineStr">
        <is>
          <t>alt</t>
        </is>
      </c>
      <c r="O2233" t="n">
        <v>60</v>
      </c>
      <c r="P2233" t="n">
        <v>0.00474</v>
      </c>
      <c r="Q2233" t="n">
        <v>-5</v>
      </c>
      <c r="R2233" t="n">
        <v>0.01633</v>
      </c>
      <c r="S2233">
        <f>IMAGE("https://mitra.stanford.edu/kundaje/oak/projects/neuro-variants/variant_position/credible/roussos_2024/variant_figures/roussos_2024.adolescence.Astrocyte/rs17643843_count_position.png",4,220,900)</f>
        <v/>
      </c>
      <c r="T2233">
        <f>IMAGE("https://mitra.stanford.edu/kundaje/oak/projects/neuro-variants/variant_position/credible/roussos_2024/variant_figures/roussos_2024.adolescence.Astrocyte/rs17643843_profile_position.png",4,220,900)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-0.0290680257519999</v>
      </c>
      <c r="G2234" t="n">
        <v>0.4388183809674965</v>
      </c>
      <c r="H2234" t="n">
        <v>0.0129649218686856</v>
      </c>
      <c r="I2234" t="n">
        <v>0.4728521735885354</v>
      </c>
      <c r="J2234" t="n">
        <v>0.0005489125597127</v>
      </c>
      <c r="K2234" t="n">
        <v>0.9339166073416162</v>
      </c>
      <c r="L2234" t="b">
        <v>0</v>
      </c>
      <c r="M2234" t="b">
        <v>0</v>
      </c>
      <c r="N2234" t="inlineStr">
        <is>
          <t>ref</t>
        </is>
      </c>
      <c r="O2234" t="n">
        <v>-100</v>
      </c>
      <c r="P2234" t="n">
        <v>0.01277</v>
      </c>
      <c r="Q2234" t="n">
        <v>90</v>
      </c>
      <c r="R2234" t="n">
        <v>0.1504</v>
      </c>
      <c r="S2234">
        <f>IMAGE("https://mitra.stanford.edu/kundaje/oak/projects/neuro-variants/variant_position/credible/roussos_2024/variant_figures/roussos_2024.adolescence.Astrocyte/rs12986694_count_position.png",4,220,900)</f>
        <v/>
      </c>
      <c r="T2234">
        <f>IMAGE("https://mitra.stanford.edu/kundaje/oak/projects/neuro-variants/variant_position/credible/roussos_2024/variant_figures/roussos_2024.adolescence.Astrocyte/rs12986694_profile_position.png",4,220,900)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0.005689323754</v>
      </c>
      <c r="G2235" t="n">
        <v>0.8342976054316271</v>
      </c>
      <c r="H2235" t="n">
        <v>0.0116307480415654</v>
      </c>
      <c r="I2235" t="n">
        <v>0.5970588232453644</v>
      </c>
      <c r="J2235" t="n">
        <v>0.0057739667091949</v>
      </c>
      <c r="K2235" t="n">
        <v>0.7214439894922356</v>
      </c>
      <c r="L2235" t="b">
        <v>0</v>
      </c>
      <c r="M2235" t="b">
        <v>0</v>
      </c>
      <c r="N2235" t="inlineStr">
        <is>
          <t>alt</t>
        </is>
      </c>
      <c r="O2235" t="n">
        <v>90</v>
      </c>
      <c r="P2235" t="n">
        <v>0.012405</v>
      </c>
      <c r="Q2235" t="n">
        <v>-40</v>
      </c>
      <c r="R2235" t="n">
        <v>0.0511</v>
      </c>
      <c r="S2235">
        <f>IMAGE("https://mitra.stanford.edu/kundaje/oak/projects/neuro-variants/variant_position/credible/roussos_2024/variant_figures/roussos_2024.adolescence.Astrocyte/rs36078004_count_position.png",4,220,900)</f>
        <v/>
      </c>
      <c r="T2235">
        <f>IMAGE("https://mitra.stanford.edu/kundaje/oak/projects/neuro-variants/variant_position/credible/roussos_2024/variant_figures/roussos_2024.adolescence.Astrocyte/rs36078004_profile_position.png",4,220,900)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0.0243596417999999</v>
      </c>
      <c r="G2236" t="n">
        <v>0.4649932778811366</v>
      </c>
      <c r="H2236" t="n">
        <v>0.0178888989593072</v>
      </c>
      <c r="I2236" t="n">
        <v>0.1974574215511832</v>
      </c>
      <c r="J2236" t="n">
        <v>0.3215411091000801</v>
      </c>
      <c r="K2236" t="n">
        <v>0.1220008128512474</v>
      </c>
      <c r="L2236" t="b">
        <v>0</v>
      </c>
      <c r="M2236" t="b">
        <v>0</v>
      </c>
      <c r="N2236" t="inlineStr">
        <is>
          <t>alt</t>
        </is>
      </c>
      <c r="O2236" t="n">
        <v>95</v>
      </c>
      <c r="P2236" t="n">
        <v>0.02466</v>
      </c>
      <c r="Q2236" t="n">
        <v>100</v>
      </c>
      <c r="R2236" t="n">
        <v>0.1532</v>
      </c>
      <c r="S2236">
        <f>IMAGE("https://mitra.stanford.edu/kundaje/oak/projects/neuro-variants/variant_position/credible/roussos_2024/variant_figures/roussos_2024.adolescence.Astrocyte/rs67625651_count_position.png",4,220,900)</f>
        <v/>
      </c>
      <c r="T2236">
        <f>IMAGE("https://mitra.stanford.edu/kundaje/oak/projects/neuro-variants/variant_position/credible/roussos_2024/variant_figures/roussos_2024.adolescence.Astrocyte/rs67625651_profile_position.png",4,220,900)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0.0651137826</v>
      </c>
      <c r="G2237" t="n">
        <v>0.1740063831980891</v>
      </c>
      <c r="H2237" t="n">
        <v>0.0127391483430425</v>
      </c>
      <c r="I2237" t="n">
        <v>0.4891909260568958</v>
      </c>
      <c r="J2237" t="n">
        <v>0.0013010711212651</v>
      </c>
      <c r="K2237" t="n">
        <v>0.8657792655195916</v>
      </c>
      <c r="L2237" t="b">
        <v>0</v>
      </c>
      <c r="M2237" t="b">
        <v>0</v>
      </c>
      <c r="N2237" t="inlineStr">
        <is>
          <t>alt</t>
        </is>
      </c>
      <c r="O2237" t="n">
        <v>-100</v>
      </c>
      <c r="P2237" t="n">
        <v>0.003105</v>
      </c>
      <c r="Q2237" t="n">
        <v>-90</v>
      </c>
      <c r="R2237" t="n">
        <v>0.02887</v>
      </c>
      <c r="S2237">
        <f>IMAGE("https://mitra.stanford.edu/kundaje/oak/projects/neuro-variants/variant_position/credible/roussos_2024/variant_figures/roussos_2024.adolescence.Astrocyte/rs12995353_count_position.png",4,220,900)</f>
        <v/>
      </c>
      <c r="T2237">
        <f>IMAGE("https://mitra.stanford.edu/kundaje/oak/projects/neuro-variants/variant_position/credible/roussos_2024/variant_figures/roussos_2024.adolescence.Astrocyte/rs12995353_profile_position.png",4,220,900)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0.00679449322</v>
      </c>
      <c r="G2238" t="n">
        <v>0.8136139227039936</v>
      </c>
      <c r="H2238" t="n">
        <v>0.0083416221594771</v>
      </c>
      <c r="I2238" t="n">
        <v>0.903411255311134</v>
      </c>
      <c r="J2238" t="n">
        <v>0.0011860961932171</v>
      </c>
      <c r="K2238" t="n">
        <v>0.8632471900137426</v>
      </c>
      <c r="L2238" t="b">
        <v>0</v>
      </c>
      <c r="M2238" t="b">
        <v>0</v>
      </c>
      <c r="N2238" t="inlineStr">
        <is>
          <t>alt</t>
        </is>
      </c>
      <c r="O2238" t="n">
        <v>90</v>
      </c>
      <c r="P2238" t="n">
        <v>0.00545</v>
      </c>
      <c r="Q2238" t="n">
        <v>-95</v>
      </c>
      <c r="R2238" t="n">
        <v>0.09470000000000001</v>
      </c>
      <c r="S2238">
        <f>IMAGE("https://mitra.stanford.edu/kundaje/oak/projects/neuro-variants/variant_position/credible/roussos_2024/variant_figures/roussos_2024.adolescence.Astrocyte/rs62174916_count_position.png",4,220,900)</f>
        <v/>
      </c>
      <c r="T2238">
        <f>IMAGE("https://mitra.stanford.edu/kundaje/oak/projects/neuro-variants/variant_position/credible/roussos_2024/variant_figures/roussos_2024.adolescence.Astrocyte/rs62174916_profile_position.png",4,220,900)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0.0165187028</v>
      </c>
      <c r="G2239" t="n">
        <v>0.6072102096517761</v>
      </c>
      <c r="H2239" t="n">
        <v>0.0275173390133835</v>
      </c>
      <c r="I2239" t="n">
        <v>0.0440809172833356</v>
      </c>
      <c r="J2239" t="n">
        <v>0.000182476337418</v>
      </c>
      <c r="K2239" t="n">
        <v>0.9646626244247698</v>
      </c>
      <c r="L2239" t="b">
        <v>0</v>
      </c>
      <c r="M2239" t="b">
        <v>0</v>
      </c>
      <c r="N2239" t="inlineStr">
        <is>
          <t>alt</t>
        </is>
      </c>
      <c r="O2239" t="n">
        <v>-5</v>
      </c>
      <c r="P2239" t="n">
        <v>0.000412</v>
      </c>
      <c r="Q2239" t="n">
        <v>30</v>
      </c>
      <c r="R2239" t="n">
        <v>0.0202</v>
      </c>
      <c r="S2239">
        <f>IMAGE("https://mitra.stanford.edu/kundaje/oak/projects/neuro-variants/variant_position/credible/roussos_2024/variant_figures/roussos_2024.adolescence.Astrocyte/rs67338739_count_position.png",4,220,900)</f>
        <v/>
      </c>
      <c r="T2239">
        <f>IMAGE("https://mitra.stanford.edu/kundaje/oak/projects/neuro-variants/variant_position/credible/roussos_2024/variant_figures/roussos_2024.adolescence.Astrocyte/rs67338739_profile_position.png",4,220,900)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0.0459501462</v>
      </c>
      <c r="G2240" t="n">
        <v>0.2563824750006238</v>
      </c>
      <c r="H2240" t="n">
        <v>0.0126698913909825</v>
      </c>
      <c r="I2240" t="n">
        <v>0.498344700671168</v>
      </c>
      <c r="J2240" t="n">
        <v>0.020286027950034</v>
      </c>
      <c r="K2240" t="n">
        <v>0.5870321394879238</v>
      </c>
      <c r="L2240" t="b">
        <v>0</v>
      </c>
      <c r="M2240" t="b">
        <v>0</v>
      </c>
      <c r="N2240" t="inlineStr">
        <is>
          <t>alt</t>
        </is>
      </c>
      <c r="O2240" t="n">
        <v>-100</v>
      </c>
      <c r="P2240" t="n">
        <v>0.00682</v>
      </c>
      <c r="Q2240" t="n">
        <v>-40</v>
      </c>
      <c r="R2240" t="n">
        <v>0.1019</v>
      </c>
      <c r="S2240">
        <f>IMAGE("https://mitra.stanford.edu/kundaje/oak/projects/neuro-variants/variant_position/credible/roussos_2024/variant_figures/roussos_2024.adolescence.Astrocyte/rs35204416_count_position.png",4,220,900)</f>
        <v/>
      </c>
      <c r="T2240">
        <f>IMAGE("https://mitra.stanford.edu/kundaje/oak/projects/neuro-variants/variant_position/credible/roussos_2024/variant_figures/roussos_2024.adolescence.Astrocyte/rs35204416_profile_position.png",4,220,900)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0.0042773842528</v>
      </c>
      <c r="G2241" t="n">
        <v>0.8514224704090132</v>
      </c>
      <c r="H2241" t="n">
        <v>0.0294621262155067</v>
      </c>
      <c r="I2241" t="n">
        <v>0.0338433558540028</v>
      </c>
      <c r="J2241" t="n">
        <v>0.0002284663086371</v>
      </c>
      <c r="K2241" t="n">
        <v>0.9576270577194714</v>
      </c>
      <c r="L2241" t="b">
        <v>0</v>
      </c>
      <c r="M2241" t="b">
        <v>0</v>
      </c>
      <c r="N2241" t="inlineStr">
        <is>
          <t>alt</t>
        </is>
      </c>
      <c r="O2241" t="n">
        <v>80</v>
      </c>
      <c r="P2241" t="n">
        <v>0.001835</v>
      </c>
      <c r="Q2241" t="n">
        <v>100</v>
      </c>
      <c r="R2241" t="n">
        <v>0.08154</v>
      </c>
      <c r="S2241">
        <f>IMAGE("https://mitra.stanford.edu/kundaje/oak/projects/neuro-variants/variant_position/credible/roussos_2024/variant_figures/roussos_2024.adolescence.Astrocyte/rs72871781_count_position.png",4,220,900)</f>
        <v/>
      </c>
      <c r="T2241">
        <f>IMAGE("https://mitra.stanford.edu/kundaje/oak/projects/neuro-variants/variant_position/credible/roussos_2024/variant_figures/roussos_2024.adolescence.Astrocyte/rs72871781_profile_position.png",4,220,900)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0.129550133</v>
      </c>
      <c r="G2242" t="n">
        <v>0.0453756874741297</v>
      </c>
      <c r="H2242" t="n">
        <v>0.0247807196111962</v>
      </c>
      <c r="I2242" t="n">
        <v>0.0664121187209253</v>
      </c>
      <c r="J2242" t="n">
        <v>0.0833301189805061</v>
      </c>
      <c r="K2242" t="n">
        <v>0.3513683143127208</v>
      </c>
      <c r="L2242" t="b">
        <v>0</v>
      </c>
      <c r="M2242" t="b">
        <v>0</v>
      </c>
      <c r="N2242" t="inlineStr">
        <is>
          <t>alt</t>
        </is>
      </c>
      <c r="O2242" t="n">
        <v>-95</v>
      </c>
      <c r="P2242" t="n">
        <v>0.005646</v>
      </c>
      <c r="Q2242" t="n">
        <v>-100</v>
      </c>
      <c r="R2242" t="n">
        <v>0.1672</v>
      </c>
      <c r="S2242">
        <f>IMAGE("https://mitra.stanford.edu/kundaje/oak/projects/neuro-variants/variant_position/credible/roussos_2024/variant_figures/roussos_2024.adolescence.Astrocyte/rs62176163_count_position.png",4,220,900)</f>
        <v/>
      </c>
      <c r="T2242">
        <f>IMAGE("https://mitra.stanford.edu/kundaje/oak/projects/neuro-variants/variant_position/credible/roussos_2024/variant_figures/roussos_2024.adolescence.Astrocyte/rs62176163_profile_position.png",4,220,900)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-0.1062209889999999</v>
      </c>
      <c r="G2243" t="n">
        <v>0.0915025944489867</v>
      </c>
      <c r="H2243" t="n">
        <v>0.0237332551730726</v>
      </c>
      <c r="I2243" t="n">
        <v>0.0779143726719996</v>
      </c>
      <c r="J2243" t="n">
        <v>0.0270984778803073</v>
      </c>
      <c r="K2243" t="n">
        <v>0.5303041808886142</v>
      </c>
      <c r="L2243" t="b">
        <v>0</v>
      </c>
      <c r="M2243" t="b">
        <v>0</v>
      </c>
      <c r="N2243" t="inlineStr">
        <is>
          <t>ref</t>
        </is>
      </c>
      <c r="O2243" t="n">
        <v>-95</v>
      </c>
      <c r="P2243" t="n">
        <v>0.02495</v>
      </c>
      <c r="Q2243" t="n">
        <v>-85</v>
      </c>
      <c r="R2243" t="n">
        <v>0.1426</v>
      </c>
      <c r="S2243">
        <f>IMAGE("https://mitra.stanford.edu/kundaje/oak/projects/neuro-variants/variant_position/credible/roussos_2024/variant_figures/roussos_2024.adolescence.Astrocyte/rs11892879_count_position.png",4,220,900)</f>
        <v/>
      </c>
      <c r="T2243">
        <f>IMAGE("https://mitra.stanford.edu/kundaje/oak/projects/neuro-variants/variant_position/credible/roussos_2024/variant_figures/roussos_2024.adolescence.Astrocyte/rs11892879_profile_position.png",4,220,900)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0.0276572205</v>
      </c>
      <c r="G2244" t="n">
        <v>0.4065086221087854</v>
      </c>
      <c r="H2244" t="n">
        <v>0.0172751819382969</v>
      </c>
      <c r="I2244" t="n">
        <v>0.215756028754785</v>
      </c>
      <c r="J2244" t="n">
        <v>0.2321996558169895</v>
      </c>
      <c r="K2244" t="n">
        <v>0.1794398017227635</v>
      </c>
      <c r="L2244" t="b">
        <v>0</v>
      </c>
      <c r="M2244" t="b">
        <v>0</v>
      </c>
      <c r="N2244" t="inlineStr">
        <is>
          <t>alt</t>
        </is>
      </c>
      <c r="O2244" t="n">
        <v>-45</v>
      </c>
      <c r="P2244" t="n">
        <v>0.00903</v>
      </c>
      <c r="Q2244" t="n">
        <v>-75</v>
      </c>
      <c r="R2244" t="n">
        <v>0.3677</v>
      </c>
      <c r="S2244">
        <f>IMAGE("https://mitra.stanford.edu/kundaje/oak/projects/neuro-variants/variant_position/credible/roussos_2024/variant_figures/roussos_2024.adolescence.Astrocyte/rs12612835_count_position.png",4,220,900)</f>
        <v/>
      </c>
      <c r="T2244">
        <f>IMAGE("https://mitra.stanford.edu/kundaje/oak/projects/neuro-variants/variant_position/credible/roussos_2024/variant_figures/roussos_2024.adolescence.Astrocyte/rs12612835_profile_position.png",4,220,900)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-0.038544959118</v>
      </c>
      <c r="G2245" t="n">
        <v>0.3630446677600707</v>
      </c>
      <c r="H2245" t="n">
        <v>0.0253447261750912</v>
      </c>
      <c r="I2245" t="n">
        <v>0.0603001767949423</v>
      </c>
      <c r="J2245" t="n">
        <v>0.0050537044180042</v>
      </c>
      <c r="K2245" t="n">
        <v>0.7340273101797172</v>
      </c>
      <c r="L2245" t="b">
        <v>0</v>
      </c>
      <c r="M2245" t="b">
        <v>0</v>
      </c>
      <c r="N2245" t="inlineStr">
        <is>
          <t>ref</t>
        </is>
      </c>
      <c r="O2245" t="n">
        <v>100</v>
      </c>
      <c r="P2245" t="n">
        <v>0.02113</v>
      </c>
      <c r="Q2245" t="n">
        <v>20</v>
      </c>
      <c r="R2245" t="n">
        <v>0.05078</v>
      </c>
      <c r="S2245">
        <f>IMAGE("https://mitra.stanford.edu/kundaje/oak/projects/neuro-variants/variant_position/credible/roussos_2024/variant_figures/roussos_2024.adolescence.Astrocyte/rs1881046_count_position.png",4,220,900)</f>
        <v/>
      </c>
      <c r="T2245">
        <f>IMAGE("https://mitra.stanford.edu/kundaje/oak/projects/neuro-variants/variant_position/credible/roussos_2024/variant_figures/roussos_2024.adolescence.Astrocyte/rs1881046_profile_position.png",4,220,900)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0.207452578</v>
      </c>
      <c r="G2246" t="n">
        <v>0.0166054198354904</v>
      </c>
      <c r="H2246" t="n">
        <v>0.0229273832028785</v>
      </c>
      <c r="I2246" t="n">
        <v>0.0918417626408851</v>
      </c>
      <c r="J2246" t="n">
        <v>0.0068109663828145</v>
      </c>
      <c r="K2246" t="n">
        <v>0.7299992986794853</v>
      </c>
      <c r="L2246" t="b">
        <v>1</v>
      </c>
      <c r="M2246" t="b">
        <v>0</v>
      </c>
      <c r="N2246" t="inlineStr">
        <is>
          <t>alt</t>
        </is>
      </c>
      <c r="O2246" t="n">
        <v>-95</v>
      </c>
      <c r="P2246" t="n">
        <v>0.005585</v>
      </c>
      <c r="Q2246" t="n">
        <v>70</v>
      </c>
      <c r="R2246" t="n">
        <v>0.11847</v>
      </c>
      <c r="S2246">
        <f>IMAGE("https://mitra.stanford.edu/kundaje/oak/projects/neuro-variants/variant_position/credible/roussos_2024/variant_figures/roussos_2024.adolescence.Astrocyte/rs2103263_count_position.png",4,220,900)</f>
        <v/>
      </c>
      <c r="T2246">
        <f>IMAGE("https://mitra.stanford.edu/kundaje/oak/projects/neuro-variants/variant_position/credible/roussos_2024/variant_figures/roussos_2024.adolescence.Astrocyte/rs2103263_profile_position.png",4,220,900)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0.0153138984</v>
      </c>
      <c r="G2247" t="n">
        <v>0.6157832161886742</v>
      </c>
      <c r="H2247" t="n">
        <v>0.0276364478794044</v>
      </c>
      <c r="I2247" t="n">
        <v>0.0431196668509534</v>
      </c>
      <c r="J2247" t="n">
        <v>0.0753493754265198</v>
      </c>
      <c r="K2247" t="n">
        <v>0.3675648978566952</v>
      </c>
      <c r="L2247" t="b">
        <v>0</v>
      </c>
      <c r="M2247" t="b">
        <v>0</v>
      </c>
      <c r="N2247" t="inlineStr">
        <is>
          <t>alt</t>
        </is>
      </c>
      <c r="O2247" t="n">
        <v>45</v>
      </c>
      <c r="P2247" t="n">
        <v>0.03345</v>
      </c>
      <c r="Q2247" t="n">
        <v>45</v>
      </c>
      <c r="R2247" t="n">
        <v>0.2273</v>
      </c>
      <c r="S2247">
        <f>IMAGE("https://mitra.stanford.edu/kundaje/oak/projects/neuro-variants/variant_position/credible/roussos_2024/variant_figures/roussos_2024.adolescence.Astrocyte/rs35377330_count_position.png",4,220,900)</f>
        <v/>
      </c>
      <c r="T2247">
        <f>IMAGE("https://mitra.stanford.edu/kundaje/oak/projects/neuro-variants/variant_position/credible/roussos_2024/variant_figures/roussos_2024.adolescence.Astrocyte/rs35377330_profile_position.png",4,220,900)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0.00147987514</v>
      </c>
      <c r="G2248" t="n">
        <v>0.809728116115585</v>
      </c>
      <c r="H2248" t="n">
        <v>0.0106870396053968</v>
      </c>
      <c r="I2248" t="n">
        <v>0.6883484972933646</v>
      </c>
      <c r="J2248" t="n">
        <v>0.00527252766816</v>
      </c>
      <c r="K2248" t="n">
        <v>0.7320159155238244</v>
      </c>
      <c r="L2248" t="b">
        <v>0</v>
      </c>
      <c r="M2248" t="b">
        <v>0</v>
      </c>
      <c r="N2248" t="inlineStr">
        <is>
          <t>alt</t>
        </is>
      </c>
      <c r="O2248" t="n">
        <v>-85</v>
      </c>
      <c r="P2248" t="n">
        <v>0.00894</v>
      </c>
      <c r="Q2248" t="n">
        <v>10</v>
      </c>
      <c r="R2248" t="n">
        <v>0.01819</v>
      </c>
      <c r="S2248">
        <f>IMAGE("https://mitra.stanford.edu/kundaje/oak/projects/neuro-variants/variant_position/credible/roussos_2024/variant_figures/roussos_2024.adolescence.Astrocyte/rs13026547_count_position.png",4,220,900)</f>
        <v/>
      </c>
      <c r="T2248">
        <f>IMAGE("https://mitra.stanford.edu/kundaje/oak/projects/neuro-variants/variant_position/credible/roussos_2024/variant_figures/roussos_2024.adolescence.Astrocyte/rs13026547_profile_position.png",4,220,900)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-0.0625707196</v>
      </c>
      <c r="G2249" t="n">
        <v>0.1759987624601049</v>
      </c>
      <c r="H2249" t="n">
        <v>0.0121614023567782</v>
      </c>
      <c r="I2249" t="n">
        <v>0.53926125849047</v>
      </c>
      <c r="J2249" t="n">
        <v>0.0137992166869417</v>
      </c>
      <c r="K2249" t="n">
        <v>0.6199269062342585</v>
      </c>
      <c r="L2249" t="b">
        <v>0</v>
      </c>
      <c r="M2249" t="b">
        <v>0</v>
      </c>
      <c r="N2249" t="inlineStr">
        <is>
          <t>ref</t>
        </is>
      </c>
      <c r="O2249" t="n">
        <v>-95</v>
      </c>
      <c r="P2249" t="n">
        <v>0.0464</v>
      </c>
      <c r="Q2249" t="n">
        <v>80</v>
      </c>
      <c r="R2249" t="n">
        <v>0.1445</v>
      </c>
      <c r="S2249">
        <f>IMAGE("https://mitra.stanford.edu/kundaje/oak/projects/neuro-variants/variant_position/credible/roussos_2024/variant_figures/roussos_2024.adolescence.Astrocyte/rs7604885_count_position.png",4,220,900)</f>
        <v/>
      </c>
      <c r="T2249">
        <f>IMAGE("https://mitra.stanford.edu/kundaje/oak/projects/neuro-variants/variant_position/credible/roussos_2024/variant_figures/roussos_2024.adolescence.Astrocyte/rs7604885_profile_position.png",4,220,900)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-0.0568336186</v>
      </c>
      <c r="G2250" t="n">
        <v>0.1287494985125765</v>
      </c>
      <c r="H2250" t="n">
        <v>0.0135788453690283</v>
      </c>
      <c r="I2250" t="n">
        <v>0.4225738129315033</v>
      </c>
      <c r="J2250" t="n">
        <v>0.0003605020324599</v>
      </c>
      <c r="K2250" t="n">
        <v>0.9330554554711056</v>
      </c>
      <c r="L2250" t="b">
        <v>0</v>
      </c>
      <c r="M2250" t="b">
        <v>0</v>
      </c>
      <c r="N2250" t="inlineStr">
        <is>
          <t>ref</t>
        </is>
      </c>
      <c r="O2250" t="n">
        <v>100</v>
      </c>
      <c r="P2250" t="n">
        <v>0.04916</v>
      </c>
      <c r="Q2250" t="n">
        <v>-95</v>
      </c>
      <c r="R2250" t="n">
        <v>0.09089999999999999</v>
      </c>
      <c r="S2250">
        <f>IMAGE("https://mitra.stanford.edu/kundaje/oak/projects/neuro-variants/variant_position/credible/roussos_2024/variant_figures/roussos_2024.adolescence.Astrocyte/rs13021985_count_position.png",4,220,900)</f>
        <v/>
      </c>
      <c r="T2250">
        <f>IMAGE("https://mitra.stanford.edu/kundaje/oak/projects/neuro-variants/variant_position/credible/roussos_2024/variant_figures/roussos_2024.adolescence.Astrocyte/rs13021985_profile_position.png",4,220,900)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0.0294983734</v>
      </c>
      <c r="G2251" t="n">
        <v>0.4123555419968654</v>
      </c>
      <c r="H2251" t="n">
        <v>0.0299344648335041</v>
      </c>
      <c r="I2251" t="n">
        <v>0.0316737438659732</v>
      </c>
      <c r="J2251" t="n">
        <v>0.0273291695101325</v>
      </c>
      <c r="K2251" t="n">
        <v>0.5292586065069277</v>
      </c>
      <c r="L2251" t="b">
        <v>0</v>
      </c>
      <c r="M2251" t="b">
        <v>0</v>
      </c>
      <c r="N2251" t="inlineStr">
        <is>
          <t>alt</t>
        </is>
      </c>
      <c r="O2251" t="n">
        <v>90</v>
      </c>
      <c r="P2251" t="n">
        <v>0.00978</v>
      </c>
      <c r="Q2251" t="n">
        <v>90</v>
      </c>
      <c r="R2251" t="n">
        <v>0.1001</v>
      </c>
      <c r="S2251">
        <f>IMAGE("https://mitra.stanford.edu/kundaje/oak/projects/neuro-variants/variant_position/credible/roussos_2024/variant_figures/roussos_2024.adolescence.Astrocyte/rs4295021_count_position.png",4,220,900)</f>
        <v/>
      </c>
      <c r="T2251">
        <f>IMAGE("https://mitra.stanford.edu/kundaje/oak/projects/neuro-variants/variant_position/credible/roussos_2024/variant_figures/roussos_2024.adolescence.Astrocyte/rs4295021_profile_position.png",4,220,900)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0.0094647966199999</v>
      </c>
      <c r="G2252" t="n">
        <v>0.6297052255924835</v>
      </c>
      <c r="H2252" t="n">
        <v>0.0149632100207176</v>
      </c>
      <c r="I2252" t="n">
        <v>0.3259487880541649</v>
      </c>
      <c r="J2252" t="n">
        <v>0.003383229979527</v>
      </c>
      <c r="K2252" t="n">
        <v>0.7851161265419168</v>
      </c>
      <c r="L2252" t="b">
        <v>0</v>
      </c>
      <c r="M2252" t="b">
        <v>0</v>
      </c>
      <c r="N2252" t="inlineStr">
        <is>
          <t>alt</t>
        </is>
      </c>
      <c r="O2252" t="n">
        <v>-50</v>
      </c>
      <c r="P2252" t="n">
        <v>0.0005264</v>
      </c>
      <c r="Q2252" t="n">
        <v>-60</v>
      </c>
      <c r="R2252" t="n">
        <v>0.0569</v>
      </c>
      <c r="S2252">
        <f>IMAGE("https://mitra.stanford.edu/kundaje/oak/projects/neuro-variants/variant_position/credible/roussos_2024/variant_figures/roussos_2024.adolescence.Astrocyte/rs2909455_count_position.png",4,220,900)</f>
        <v/>
      </c>
      <c r="T2252">
        <f>IMAGE("https://mitra.stanford.edu/kundaje/oak/projects/neuro-variants/variant_position/credible/roussos_2024/variant_figures/roussos_2024.adolescence.Astrocyte/rs2909455_profile_position.png",4,220,900)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-0.0153327603999999</v>
      </c>
      <c r="G2253" t="n">
        <v>0.4083372010603491</v>
      </c>
      <c r="H2253" t="n">
        <v>0.0145502531450318</v>
      </c>
      <c r="I2253" t="n">
        <v>0.3499324925312496</v>
      </c>
      <c r="J2253" t="n">
        <v>0.0468875174316826</v>
      </c>
      <c r="K2253" t="n">
        <v>0.4672324349629101</v>
      </c>
      <c r="L2253" t="b">
        <v>0</v>
      </c>
      <c r="M2253" t="b">
        <v>0</v>
      </c>
      <c r="N2253" t="inlineStr">
        <is>
          <t>ref</t>
        </is>
      </c>
      <c r="O2253" t="n">
        <v>-45</v>
      </c>
      <c r="P2253" t="n">
        <v>0.004658</v>
      </c>
      <c r="Q2253" t="n">
        <v>-50</v>
      </c>
      <c r="R2253" t="n">
        <v>0.0735</v>
      </c>
      <c r="S2253">
        <f>IMAGE("https://mitra.stanford.edu/kundaje/oak/projects/neuro-variants/variant_position/credible/roussos_2024/variant_figures/roussos_2024.adolescence.Astrocyte/rs975341_count_position.png",4,220,900)</f>
        <v/>
      </c>
      <c r="T2253">
        <f>IMAGE("https://mitra.stanford.edu/kundaje/oak/projects/neuro-variants/variant_position/credible/roussos_2024/variant_figures/roussos_2024.adolescence.Astrocyte/rs975341_profile_position.png",4,220,900)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-0.1016281486</v>
      </c>
      <c r="G2254" t="n">
        <v>0.0853349567842201</v>
      </c>
      <c r="H2254" t="n">
        <v>0.0249371500017234</v>
      </c>
      <c r="I2254" t="n">
        <v>0.06426149010000649</v>
      </c>
      <c r="J2254" t="n">
        <v>0.0018336646589323</v>
      </c>
      <c r="K2254" t="n">
        <v>0.8431685976240902</v>
      </c>
      <c r="L2254" t="b">
        <v>0</v>
      </c>
      <c r="M2254" t="b">
        <v>0</v>
      </c>
      <c r="N2254" t="inlineStr">
        <is>
          <t>ref</t>
        </is>
      </c>
      <c r="O2254" t="n">
        <v>100</v>
      </c>
      <c r="P2254" t="n">
        <v>0.01929</v>
      </c>
      <c r="Q2254" t="n">
        <v>85</v>
      </c>
      <c r="R2254" t="n">
        <v>0.1301</v>
      </c>
      <c r="S2254">
        <f>IMAGE("https://mitra.stanford.edu/kundaje/oak/projects/neuro-variants/variant_position/credible/roussos_2024/variant_figures/roussos_2024.adolescence.Astrocyte/rs6722396_count_position.png",4,220,900)</f>
        <v/>
      </c>
      <c r="T2254">
        <f>IMAGE("https://mitra.stanford.edu/kundaje/oak/projects/neuro-variants/variant_position/credible/roussos_2024/variant_figures/roussos_2024.adolescence.Astrocyte/rs6722396_profile_position.png",4,220,900)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0.163534406</v>
      </c>
      <c r="G2255" t="n">
        <v>0.0282012073637499</v>
      </c>
      <c r="H2255" t="n">
        <v>0.0174464470804533</v>
      </c>
      <c r="I2255" t="n">
        <v>0.2156644280817705</v>
      </c>
      <c r="J2255" t="n">
        <v>0.4524048304305254</v>
      </c>
      <c r="K2255" t="n">
        <v>0.0685005584170089</v>
      </c>
      <c r="L2255" t="b">
        <v>0</v>
      </c>
      <c r="M2255" t="b">
        <v>0</v>
      </c>
      <c r="N2255" t="inlineStr">
        <is>
          <t>alt</t>
        </is>
      </c>
      <c r="O2255" t="n">
        <v>-90</v>
      </c>
      <c r="P2255" t="n">
        <v>0.06744</v>
      </c>
      <c r="Q2255" t="n">
        <v>80</v>
      </c>
      <c r="R2255" t="n">
        <v>0.1123</v>
      </c>
      <c r="S2255">
        <f>IMAGE("https://mitra.stanford.edu/kundaje/oak/projects/neuro-variants/variant_position/credible/roussos_2024/variant_figures/roussos_2024.adolescence.Astrocyte/rs10189241_count_position.png",4,220,900)</f>
        <v/>
      </c>
      <c r="T2255">
        <f>IMAGE("https://mitra.stanford.edu/kundaje/oak/projects/neuro-variants/variant_position/credible/roussos_2024/variant_figures/roussos_2024.adolescence.Astrocyte/rs10189241_profile_position.png",4,220,900)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0.0266880521599999</v>
      </c>
      <c r="G2256" t="n">
        <v>0.442592014308744</v>
      </c>
      <c r="H2256" t="n">
        <v>0.019652969986476</v>
      </c>
      <c r="I2256" t="n">
        <v>0.1453076951682574</v>
      </c>
      <c r="J2256" t="n">
        <v>0.1978013826662314</v>
      </c>
      <c r="K2256" t="n">
        <v>0.2080553362058455</v>
      </c>
      <c r="L2256" t="b">
        <v>0</v>
      </c>
      <c r="M2256" t="b">
        <v>0</v>
      </c>
      <c r="N2256" t="inlineStr">
        <is>
          <t>alt</t>
        </is>
      </c>
      <c r="O2256" t="n">
        <v>50</v>
      </c>
      <c r="P2256" t="n">
        <v>0.01463</v>
      </c>
      <c r="Q2256" t="n">
        <v>50</v>
      </c>
      <c r="R2256" t="n">
        <v>0.2483</v>
      </c>
      <c r="S2256">
        <f>IMAGE("https://mitra.stanford.edu/kundaje/oak/projects/neuro-variants/variant_position/credible/roussos_2024/variant_figures/roussos_2024.adolescence.Astrocyte/rs7564698_count_position.png",4,220,900)</f>
        <v/>
      </c>
      <c r="T2256">
        <f>IMAGE("https://mitra.stanford.edu/kundaje/oak/projects/neuro-variants/variant_position/credible/roussos_2024/variant_figures/roussos_2024.adolescence.Astrocyte/rs7564698_profile_position.png",4,220,900)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0.25439</v>
      </c>
      <c r="G2257" t="n">
        <v>0.0099086108003189</v>
      </c>
      <c r="H2257" t="n">
        <v>0.0211139663945474</v>
      </c>
      <c r="I2257" t="n">
        <v>0.1160123075410394</v>
      </c>
      <c r="J2257" t="n">
        <v>0.3056908880515087</v>
      </c>
      <c r="K2257" t="n">
        <v>0.1311908861684023</v>
      </c>
      <c r="L2257" t="b">
        <v>1</v>
      </c>
      <c r="M2257" t="b">
        <v>0</v>
      </c>
      <c r="N2257" t="inlineStr">
        <is>
          <t>alt</t>
        </is>
      </c>
      <c r="O2257" t="n">
        <v>-10</v>
      </c>
      <c r="P2257" t="n">
        <v>0.00357</v>
      </c>
      <c r="Q2257" t="n">
        <v>-10</v>
      </c>
      <c r="R2257" t="n">
        <v>0.0371</v>
      </c>
      <c r="S2257">
        <f>IMAGE("https://mitra.stanford.edu/kundaje/oak/projects/neuro-variants/variant_position/credible/roussos_2024/variant_figures/roussos_2024.adolescence.Astrocyte/rs4668081_count_position.png",4,220,900)</f>
        <v/>
      </c>
      <c r="T2257">
        <f>IMAGE("https://mitra.stanford.edu/kundaje/oak/projects/neuro-variants/variant_position/credible/roussos_2024/variant_figures/roussos_2024.adolescence.Astrocyte/rs4668081_profile_position.png",4,220,900)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-0.0169644054</v>
      </c>
      <c r="G2258" t="n">
        <v>0.6095428035323308</v>
      </c>
      <c r="H2258" t="n">
        <v>0.0123012523416556</v>
      </c>
      <c r="I2258" t="n">
        <v>0.5313223470281356</v>
      </c>
      <c r="J2258" t="n">
        <v>0.0040026110435272</v>
      </c>
      <c r="K2258" t="n">
        <v>0.7607510164593355</v>
      </c>
      <c r="L2258" t="b">
        <v>0</v>
      </c>
      <c r="M2258" t="b">
        <v>0</v>
      </c>
      <c r="N2258" t="inlineStr">
        <is>
          <t>ref</t>
        </is>
      </c>
      <c r="O2258" t="n">
        <v>-25</v>
      </c>
      <c r="P2258" t="n">
        <v>0.001606</v>
      </c>
      <c r="Q2258" t="n">
        <v>20</v>
      </c>
      <c r="R2258" t="n">
        <v>0.01146</v>
      </c>
      <c r="S2258">
        <f>IMAGE("https://mitra.stanford.edu/kundaje/oak/projects/neuro-variants/variant_position/credible/roussos_2024/variant_figures/roussos_2024.adolescence.Astrocyte/rs4277491_count_position.png",4,220,900)</f>
        <v/>
      </c>
      <c r="T2258">
        <f>IMAGE("https://mitra.stanford.edu/kundaje/oak/projects/neuro-variants/variant_position/credible/roussos_2024/variant_figures/roussos_2024.adolescence.Astrocyte/rs4277491_profile_position.png",4,220,900)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0.197000644</v>
      </c>
      <c r="G2259" t="n">
        <v>0.0189451542588661</v>
      </c>
      <c r="H2259" t="n">
        <v>0.0313318378068575</v>
      </c>
      <c r="I2259" t="n">
        <v>0.0262793796799305</v>
      </c>
      <c r="J2259" t="n">
        <v>0.0062509272171616</v>
      </c>
      <c r="K2259" t="n">
        <v>0.726398596184071</v>
      </c>
      <c r="L2259" t="b">
        <v>1</v>
      </c>
      <c r="M2259" t="b">
        <v>0</v>
      </c>
      <c r="N2259" t="inlineStr">
        <is>
          <t>alt</t>
        </is>
      </c>
      <c r="O2259" t="n">
        <v>-100</v>
      </c>
      <c r="P2259" t="n">
        <v>0.01425</v>
      </c>
      <c r="Q2259" t="n">
        <v>0</v>
      </c>
      <c r="R2259" t="n">
        <v>0</v>
      </c>
      <c r="S2259">
        <f>IMAGE("https://mitra.stanford.edu/kundaje/oak/projects/neuro-variants/variant_position/credible/roussos_2024/variant_figures/roussos_2024.adolescence.Astrocyte/rs75696288_count_position.png",4,220,900)</f>
        <v/>
      </c>
      <c r="T2259">
        <f>IMAGE("https://mitra.stanford.edu/kundaje/oak/projects/neuro-variants/variant_position/credible/roussos_2024/variant_figures/roussos_2024.adolescence.Astrocyte/rs75696288_profile_position.png",4,220,900)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0.0420237296</v>
      </c>
      <c r="G2260" t="n">
        <v>0.23640429715886</v>
      </c>
      <c r="H2260" t="n">
        <v>0.0151439995940067</v>
      </c>
      <c r="I2260" t="n">
        <v>0.317615265764502</v>
      </c>
      <c r="J2260" t="n">
        <v>0.1075638667180962</v>
      </c>
      <c r="K2260" t="n">
        <v>0.3197035691280812</v>
      </c>
      <c r="L2260" t="b">
        <v>0</v>
      </c>
      <c r="M2260" t="b">
        <v>0</v>
      </c>
      <c r="N2260" t="inlineStr">
        <is>
          <t>alt</t>
        </is>
      </c>
      <c r="O2260" t="n">
        <v>-15</v>
      </c>
      <c r="P2260" t="n">
        <v>0.000946</v>
      </c>
      <c r="Q2260" t="n">
        <v>-15</v>
      </c>
      <c r="R2260" t="n">
        <v>0.03345</v>
      </c>
      <c r="S2260">
        <f>IMAGE("https://mitra.stanford.edu/kundaje/oak/projects/neuro-variants/variant_position/credible/roussos_2024/variant_figures/roussos_2024.adolescence.Astrocyte/rs1008151_count_position.png",4,220,900)</f>
        <v/>
      </c>
      <c r="T2260">
        <f>IMAGE("https://mitra.stanford.edu/kundaje/oak/projects/neuro-variants/variant_position/credible/roussos_2024/variant_figures/roussos_2024.adolescence.Astrocyte/rs1008151_profile_position.png",4,220,900)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0.0131988832399999</v>
      </c>
      <c r="G2261" t="n">
        <v>0.668618863710074</v>
      </c>
      <c r="H2261" t="n">
        <v>0.0353107469049362</v>
      </c>
      <c r="I2261" t="n">
        <v>0.0160841003362263</v>
      </c>
      <c r="J2261" t="n">
        <v>0.5022319971515888</v>
      </c>
      <c r="K2261" t="n">
        <v>0.0556451466028394</v>
      </c>
      <c r="L2261" t="b">
        <v>1</v>
      </c>
      <c r="M2261" t="b">
        <v>0</v>
      </c>
      <c r="N2261" t="inlineStr">
        <is>
          <t>alt</t>
        </is>
      </c>
      <c r="O2261" t="n">
        <v>-30</v>
      </c>
      <c r="P2261" t="n">
        <v>0.002754</v>
      </c>
      <c r="Q2261" t="n">
        <v>-70</v>
      </c>
      <c r="R2261" t="n">
        <v>0.01526</v>
      </c>
      <c r="S2261">
        <f>IMAGE("https://mitra.stanford.edu/kundaje/oak/projects/neuro-variants/variant_position/credible/roussos_2024/variant_figures/roussos_2024.adolescence.Astrocyte/rs1001780_count_position.png",4,220,900)</f>
        <v/>
      </c>
      <c r="T2261">
        <f>IMAGE("https://mitra.stanford.edu/kundaje/oak/projects/neuro-variants/variant_position/credible/roussos_2024/variant_figures/roussos_2024.adolescence.Astrocyte/rs1001780_profile_position.png",4,220,900)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-0.3417480559999999</v>
      </c>
      <c r="G2262" t="n">
        <v>0.0043551040840154</v>
      </c>
      <c r="H2262" t="n">
        <v>0.0442939988537545</v>
      </c>
      <c r="I2262" t="n">
        <v>0.0063605715444237</v>
      </c>
      <c r="J2262" t="n">
        <v>0.5087039729400943</v>
      </c>
      <c r="K2262" t="n">
        <v>0.053406694093787</v>
      </c>
      <c r="L2262" t="b">
        <v>1</v>
      </c>
      <c r="M2262" t="b">
        <v>1</v>
      </c>
      <c r="N2262" t="inlineStr">
        <is>
          <t>ref</t>
        </is>
      </c>
      <c r="O2262" t="n">
        <v>-85</v>
      </c>
      <c r="P2262" t="n">
        <v>0.003769</v>
      </c>
      <c r="Q2262" t="n">
        <v>70</v>
      </c>
      <c r="R2262" t="n">
        <v>0.09973</v>
      </c>
      <c r="S2262">
        <f>IMAGE("https://mitra.stanford.edu/kundaje/oak/projects/neuro-variants/variant_position/credible/roussos_2024/variant_figures/roussos_2024.adolescence.Astrocyte/rs62184960_count_position.png",4,220,900)</f>
        <v/>
      </c>
      <c r="T2262">
        <f>IMAGE("https://mitra.stanford.edu/kundaje/oak/projects/neuro-variants/variant_position/credible/roussos_2024/variant_figures/roussos_2024.adolescence.Astrocyte/rs62184960_profile_position.png",4,220,900)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-0.0021495091</v>
      </c>
      <c r="G2263" t="n">
        <v>0.7313555729395015</v>
      </c>
      <c r="H2263" t="n">
        <v>0.0129178074553625</v>
      </c>
      <c r="I2263" t="n">
        <v>0.4759096861636081</v>
      </c>
      <c r="J2263" t="n">
        <v>0.0010125211405512</v>
      </c>
      <c r="K2263" t="n">
        <v>0.8773220423952245</v>
      </c>
      <c r="L2263" t="b">
        <v>0</v>
      </c>
      <c r="M2263" t="b">
        <v>0</v>
      </c>
      <c r="N2263" t="inlineStr">
        <is>
          <t>ref</t>
        </is>
      </c>
      <c r="O2263" t="n">
        <v>100</v>
      </c>
      <c r="P2263" t="n">
        <v>0.01817</v>
      </c>
      <c r="Q2263" t="n">
        <v>100</v>
      </c>
      <c r="R2263" t="n">
        <v>0.2444</v>
      </c>
      <c r="S2263">
        <f>IMAGE("https://mitra.stanford.edu/kundaje/oak/projects/neuro-variants/variant_position/credible/roussos_2024/variant_figures/roussos_2024.adolescence.Astrocyte/rs145078188_count_position.png",4,220,900)</f>
        <v/>
      </c>
      <c r="T2263">
        <f>IMAGE("https://mitra.stanford.edu/kundaje/oak/projects/neuro-variants/variant_position/credible/roussos_2024/variant_figures/roussos_2024.adolescence.Astrocyte/rs145078188_profile_position.png",4,220,900)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0.01237614254</v>
      </c>
      <c r="G2264" t="n">
        <v>0.6737199386651226</v>
      </c>
      <c r="H2264" t="n">
        <v>0.009128833630986899</v>
      </c>
      <c r="I2264" t="n">
        <v>0.8459645867982041</v>
      </c>
      <c r="J2264" t="n">
        <v>0.00048437824526</v>
      </c>
      <c r="K2264" t="n">
        <v>0.9344415305202278</v>
      </c>
      <c r="L2264" t="b">
        <v>0</v>
      </c>
      <c r="M2264" t="b">
        <v>0</v>
      </c>
      <c r="N2264" t="inlineStr">
        <is>
          <t>alt</t>
        </is>
      </c>
      <c r="O2264" t="n">
        <v>10</v>
      </c>
      <c r="P2264" t="n">
        <v>0.002136</v>
      </c>
      <c r="Q2264" t="n">
        <v>100</v>
      </c>
      <c r="R2264" t="n">
        <v>0.07715</v>
      </c>
      <c r="S2264">
        <f>IMAGE("https://mitra.stanford.edu/kundaje/oak/projects/neuro-variants/variant_position/credible/roussos_2024/variant_figures/roussos_2024.adolescence.Astrocyte/rs11675794_count_position.png",4,220,900)</f>
        <v/>
      </c>
      <c r="T2264">
        <f>IMAGE("https://mitra.stanford.edu/kundaje/oak/projects/neuro-variants/variant_position/credible/roussos_2024/variant_figures/roussos_2024.adolescence.Astrocyte/rs11675794_profile_position.png",4,220,900)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-0.02865291076</v>
      </c>
      <c r="G2265" t="n">
        <v>0.4609271932907434</v>
      </c>
      <c r="H2265" t="n">
        <v>0.0312390564259617</v>
      </c>
      <c r="I2265" t="n">
        <v>0.0264905357786755</v>
      </c>
      <c r="J2265" t="n">
        <v>0.007852416698810099</v>
      </c>
      <c r="K2265" t="n">
        <v>0.7409350643444199</v>
      </c>
      <c r="L2265" t="b">
        <v>0</v>
      </c>
      <c r="M2265" t="b">
        <v>0</v>
      </c>
      <c r="N2265" t="inlineStr">
        <is>
          <t>ref</t>
        </is>
      </c>
      <c r="O2265" t="n">
        <v>25</v>
      </c>
      <c r="P2265" t="n">
        <v>0.002953</v>
      </c>
      <c r="Q2265" t="n">
        <v>15</v>
      </c>
      <c r="R2265" t="n">
        <v>0.0527</v>
      </c>
      <c r="S2265">
        <f>IMAGE("https://mitra.stanford.edu/kundaje/oak/projects/neuro-variants/variant_position/credible/roussos_2024/variant_figures/roussos_2024.adolescence.Astrocyte/rs728534_count_position.png",4,220,900)</f>
        <v/>
      </c>
      <c r="T2265">
        <f>IMAGE("https://mitra.stanford.edu/kundaje/oak/projects/neuro-variants/variant_position/credible/roussos_2024/variant_figures/roussos_2024.adolescence.Astrocyte/rs728534_profile_position.png",4,220,900)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-0.027438477</v>
      </c>
      <c r="G2266" t="n">
        <v>0.4364282699648131</v>
      </c>
      <c r="H2266" t="n">
        <v>0.0293377924689533</v>
      </c>
      <c r="I2266" t="n">
        <v>0.0341321422318488</v>
      </c>
      <c r="J2266" t="n">
        <v>0.0069177817998397</v>
      </c>
      <c r="K2266" t="n">
        <v>0.7175143016525654</v>
      </c>
      <c r="L2266" t="b">
        <v>0</v>
      </c>
      <c r="M2266" t="b">
        <v>0</v>
      </c>
      <c r="N2266" t="inlineStr">
        <is>
          <t>ref</t>
        </is>
      </c>
      <c r="O2266" t="n">
        <v>-50</v>
      </c>
      <c r="P2266" t="n">
        <v>0.01353</v>
      </c>
      <c r="Q2266" t="n">
        <v>-90</v>
      </c>
      <c r="R2266" t="n">
        <v>0.2208</v>
      </c>
      <c r="S2266">
        <f>IMAGE("https://mitra.stanford.edu/kundaje/oak/projects/neuro-variants/variant_position/credible/roussos_2024/variant_figures/roussos_2024.adolescence.Astrocyte/rs1445542_count_position.png",4,220,900)</f>
        <v/>
      </c>
      <c r="T2266">
        <f>IMAGE("https://mitra.stanford.edu/kundaje/oak/projects/neuro-variants/variant_position/credible/roussos_2024/variant_figures/roussos_2024.adolescence.Astrocyte/rs1445542_profile_position.png",4,220,900)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0.00195434404</v>
      </c>
      <c r="G2267" t="n">
        <v>0.7885325913522314</v>
      </c>
      <c r="H2267" t="n">
        <v>0.0234514570616067</v>
      </c>
      <c r="I2267" t="n">
        <v>0.07945876499793871</v>
      </c>
      <c r="J2267" t="n">
        <v>0.0002091801916742</v>
      </c>
      <c r="K2267" t="n">
        <v>0.9554902549245026</v>
      </c>
      <c r="L2267" t="b">
        <v>0</v>
      </c>
      <c r="M2267" t="b">
        <v>0</v>
      </c>
      <c r="N2267" t="inlineStr">
        <is>
          <t>alt</t>
        </is>
      </c>
      <c r="O2267" t="n">
        <v>100</v>
      </c>
      <c r="P2267" t="n">
        <v>0.01866</v>
      </c>
      <c r="Q2267" t="n">
        <v>100</v>
      </c>
      <c r="R2267" t="n">
        <v>0.11414</v>
      </c>
      <c r="S2267">
        <f>IMAGE("https://mitra.stanford.edu/kundaje/oak/projects/neuro-variants/variant_position/credible/roussos_2024/variant_figures/roussos_2024.adolescence.Astrocyte/rs11680198_count_position.png",4,220,900)</f>
        <v/>
      </c>
      <c r="T2267">
        <f>IMAGE("https://mitra.stanford.edu/kundaje/oak/projects/neuro-variants/variant_position/credible/roussos_2024/variant_figures/roussos_2024.adolescence.Astrocyte/rs11680198_profile_position.png",4,220,900)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0.0336947926</v>
      </c>
      <c r="G2268" t="n">
        <v>0.361043386978656</v>
      </c>
      <c r="H2268" t="n">
        <v>0.0222495476662338</v>
      </c>
      <c r="I2268" t="n">
        <v>0.0954974419677677</v>
      </c>
      <c r="J2268" t="n">
        <v>0.0003834970180695</v>
      </c>
      <c r="K2268" t="n">
        <v>0.9346791346340186</v>
      </c>
      <c r="L2268" t="b">
        <v>0</v>
      </c>
      <c r="M2268" t="b">
        <v>0</v>
      </c>
      <c r="N2268" t="inlineStr">
        <is>
          <t>alt</t>
        </is>
      </c>
      <c r="O2268" t="n">
        <v>100</v>
      </c>
      <c r="P2268" t="n">
        <v>0.03784</v>
      </c>
      <c r="Q2268" t="n">
        <v>15</v>
      </c>
      <c r="R2268" t="n">
        <v>0.015564</v>
      </c>
      <c r="S2268">
        <f>IMAGE("https://mitra.stanford.edu/kundaje/oak/projects/neuro-variants/variant_position/credible/roussos_2024/variant_figures/roussos_2024.adolescence.Astrocyte/rs968109_count_position.png",4,220,900)</f>
        <v/>
      </c>
      <c r="T2268">
        <f>IMAGE("https://mitra.stanford.edu/kundaje/oak/projects/neuro-variants/variant_position/credible/roussos_2024/variant_figures/roussos_2024.adolescence.Astrocyte/rs968109_profile_position.png",4,220,900)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-0.0434278074</v>
      </c>
      <c r="G2269" t="n">
        <v>0.2730041888735482</v>
      </c>
      <c r="H2269" t="n">
        <v>0.0143463267768329</v>
      </c>
      <c r="I2269" t="n">
        <v>0.3659030012128384</v>
      </c>
      <c r="J2269" t="n">
        <v>6.156721953535294e-05</v>
      </c>
      <c r="K2269" t="n">
        <v>0.9899942019368684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0.01965</v>
      </c>
      <c r="Q2269" t="n">
        <v>10</v>
      </c>
      <c r="R2269" t="n">
        <v>0.011505</v>
      </c>
      <c r="S2269">
        <f>IMAGE("https://mitra.stanford.edu/kundaje/oak/projects/neuro-variants/variant_position/credible/roussos_2024/variant_figures/roussos_2024.adolescence.Astrocyte/rs4471907_count_position.png",4,220,900)</f>
        <v/>
      </c>
      <c r="T2269">
        <f>IMAGE("https://mitra.stanford.edu/kundaje/oak/projects/neuro-variants/variant_position/credible/roussos_2024/variant_figures/roussos_2024.adolescence.Astrocyte/rs4471907_profile_position.png",4,220,900)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0.0161438881999999</v>
      </c>
      <c r="G2270" t="n">
        <v>0.51231817404355</v>
      </c>
      <c r="H2270" t="n">
        <v>0.0261023749314065</v>
      </c>
      <c r="I2270" t="n">
        <v>0.0550827316229975</v>
      </c>
      <c r="J2270" t="n">
        <v>0.0049268611102868</v>
      </c>
      <c r="K2270" t="n">
        <v>0.7936119556616055</v>
      </c>
      <c r="L2270" t="b">
        <v>0</v>
      </c>
      <c r="M2270" t="b">
        <v>0</v>
      </c>
      <c r="N2270" t="inlineStr">
        <is>
          <t>alt</t>
        </is>
      </c>
      <c r="O2270" t="n">
        <v>-40</v>
      </c>
      <c r="P2270" t="n">
        <v>0.00502</v>
      </c>
      <c r="Q2270" t="n">
        <v>-10</v>
      </c>
      <c r="R2270" t="n">
        <v>0.007812</v>
      </c>
      <c r="S2270">
        <f>IMAGE("https://mitra.stanford.edu/kundaje/oak/projects/neuro-variants/variant_position/credible/roussos_2024/variant_figures/roussos_2024.adolescence.Astrocyte/rs10175759_count_position.png",4,220,900)</f>
        <v/>
      </c>
      <c r="T2270">
        <f>IMAGE("https://mitra.stanford.edu/kundaje/oak/projects/neuro-variants/variant_position/credible/roussos_2024/variant_figures/roussos_2024.adolescence.Astrocyte/rs10175759_profile_position.png",4,220,900)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-0.0253541818</v>
      </c>
      <c r="G2271" t="n">
        <v>0.4714978750306419</v>
      </c>
      <c r="H2271" t="n">
        <v>0.0231449287347994</v>
      </c>
      <c r="I2271" t="n">
        <v>0.0836478318912309</v>
      </c>
      <c r="J2271" t="n">
        <v>0.0011846126457584</v>
      </c>
      <c r="K2271" t="n">
        <v>0.8738504081217906</v>
      </c>
      <c r="L2271" t="b">
        <v>0</v>
      </c>
      <c r="M2271" t="b">
        <v>0</v>
      </c>
      <c r="N2271" t="inlineStr">
        <is>
          <t>ref</t>
        </is>
      </c>
      <c r="O2271" t="n">
        <v>-90</v>
      </c>
      <c r="P2271" t="n">
        <v>0.006886</v>
      </c>
      <c r="Q2271" t="n">
        <v>-45</v>
      </c>
      <c r="R2271" t="n">
        <v>0.1417</v>
      </c>
      <c r="S2271">
        <f>IMAGE("https://mitra.stanford.edu/kundaje/oak/projects/neuro-variants/variant_position/credible/roussos_2024/variant_figures/roussos_2024.adolescence.Astrocyte/rs6712343_count_position.png",4,220,900)</f>
        <v/>
      </c>
      <c r="T2271">
        <f>IMAGE("https://mitra.stanford.edu/kundaje/oak/projects/neuro-variants/variant_position/credible/roussos_2024/variant_figures/roussos_2024.adolescence.Astrocyte/rs6712343_profile_position.png",4,220,900)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-0.0031974709999999</v>
      </c>
      <c r="G2272" t="n">
        <v>0.5086970598429549</v>
      </c>
      <c r="H2272" t="n">
        <v>0.0172044095795384</v>
      </c>
      <c r="I2272" t="n">
        <v>0.2198808481071534</v>
      </c>
      <c r="J2272" t="n">
        <v>6.379254072337774e-05</v>
      </c>
      <c r="K2272" t="n">
        <v>0.9900503429024904</v>
      </c>
      <c r="L2272" t="b">
        <v>0</v>
      </c>
      <c r="M2272" t="b">
        <v>0</v>
      </c>
      <c r="N2272" t="inlineStr">
        <is>
          <t>ref</t>
        </is>
      </c>
      <c r="O2272" t="n">
        <v>0</v>
      </c>
      <c r="P2272" t="n">
        <v>0</v>
      </c>
      <c r="Q2272" t="n">
        <v>0</v>
      </c>
      <c r="R2272" t="n">
        <v>0</v>
      </c>
      <c r="S2272">
        <f>IMAGE("https://mitra.stanford.edu/kundaje/oak/projects/neuro-variants/variant_position/credible/roussos_2024/variant_figures/roussos_2024.adolescence.Astrocyte/rs6714301_count_position.png",4,220,900)</f>
        <v/>
      </c>
      <c r="T2272">
        <f>IMAGE("https://mitra.stanford.edu/kundaje/oak/projects/neuro-variants/variant_position/credible/roussos_2024/variant_figures/roussos_2024.adolescence.Astrocyte/rs6714301_profile_position.png",4,220,900)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0.025669088</v>
      </c>
      <c r="G2273" t="n">
        <v>0.4509013368083006</v>
      </c>
      <c r="H2273" t="n">
        <v>0.0190709728636907</v>
      </c>
      <c r="I2273" t="n">
        <v>0.1589094345395434</v>
      </c>
      <c r="J2273" t="n">
        <v>0.0004665756757558</v>
      </c>
      <c r="K2273" t="n">
        <v>0.950134914307886</v>
      </c>
      <c r="L2273" t="b">
        <v>0</v>
      </c>
      <c r="M2273" t="b">
        <v>0</v>
      </c>
      <c r="N2273" t="inlineStr">
        <is>
          <t>alt</t>
        </is>
      </c>
      <c r="O2273" t="n">
        <v>-75</v>
      </c>
      <c r="P2273" t="n">
        <v>0.01712</v>
      </c>
      <c r="Q2273" t="n">
        <v>95</v>
      </c>
      <c r="R2273" t="n">
        <v>0.10486</v>
      </c>
      <c r="S2273">
        <f>IMAGE("https://mitra.stanford.edu/kundaje/oak/projects/neuro-variants/variant_position/credible/roussos_2024/variant_figures/roussos_2024.adolescence.Astrocyte/rs7557329_count_position.png",4,220,900)</f>
        <v/>
      </c>
      <c r="T2273">
        <f>IMAGE("https://mitra.stanford.edu/kundaje/oak/projects/neuro-variants/variant_position/credible/roussos_2024/variant_figures/roussos_2024.adolescence.Astrocyte/rs7557329_profile_position.png",4,220,900)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-0.0190396581999999</v>
      </c>
      <c r="G2274" t="n">
        <v>0.5658291140375423</v>
      </c>
      <c r="H2274" t="n">
        <v>0.0260934302079199</v>
      </c>
      <c r="I2274" t="n">
        <v>0.0535531900914938</v>
      </c>
      <c r="J2274" t="n">
        <v>0.0001424205560335</v>
      </c>
      <c r="K2274" t="n">
        <v>0.9714916037677056</v>
      </c>
      <c r="L2274" t="b">
        <v>0</v>
      </c>
      <c r="M2274" t="b">
        <v>0</v>
      </c>
      <c r="N2274" t="inlineStr">
        <is>
          <t>ref</t>
        </is>
      </c>
      <c r="O2274" t="n">
        <v>-100</v>
      </c>
      <c r="P2274" t="n">
        <v>0.001282</v>
      </c>
      <c r="Q2274" t="n">
        <v>-70</v>
      </c>
      <c r="R2274" t="n">
        <v>0.05038</v>
      </c>
      <c r="S2274">
        <f>IMAGE("https://mitra.stanford.edu/kundaje/oak/projects/neuro-variants/variant_position/credible/roussos_2024/variant_figures/roussos_2024.adolescence.Astrocyte/rs1902746_count_position.png",4,220,900)</f>
        <v/>
      </c>
      <c r="T2274">
        <f>IMAGE("https://mitra.stanford.edu/kundaje/oak/projects/neuro-variants/variant_position/credible/roussos_2024/variant_figures/roussos_2024.adolescence.Astrocyte/rs1902746_profile_position.png",4,220,900)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0.0259248264</v>
      </c>
      <c r="G2275" t="n">
        <v>0.4766655098597393</v>
      </c>
      <c r="H2275" t="n">
        <v>0.0273042408293152</v>
      </c>
      <c r="I2275" t="n">
        <v>0.0453361526494255</v>
      </c>
      <c r="J2275" t="n">
        <v>0.0002855828857964</v>
      </c>
      <c r="K2275" t="n">
        <v>0.957766180596612</v>
      </c>
      <c r="L2275" t="b">
        <v>0</v>
      </c>
      <c r="M2275" t="b">
        <v>0</v>
      </c>
      <c r="N2275" t="inlineStr">
        <is>
          <t>alt</t>
        </is>
      </c>
      <c r="O2275" t="n">
        <v>-40</v>
      </c>
      <c r="P2275" t="n">
        <v>0.006653</v>
      </c>
      <c r="Q2275" t="n">
        <v>100</v>
      </c>
      <c r="R2275" t="n">
        <v>0.156</v>
      </c>
      <c r="S2275">
        <f>IMAGE("https://mitra.stanford.edu/kundaje/oak/projects/neuro-variants/variant_position/credible/roussos_2024/variant_figures/roussos_2024.adolescence.Astrocyte/rs1037708_count_position.png",4,220,900)</f>
        <v/>
      </c>
      <c r="T2275">
        <f>IMAGE("https://mitra.stanford.edu/kundaje/oak/projects/neuro-variants/variant_position/credible/roussos_2024/variant_figures/roussos_2024.adolescence.Astrocyte/rs1037708_profile_position.png",4,220,900)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-0.00221392396</v>
      </c>
      <c r="G2276" t="n">
        <v>0.9013320320632376</v>
      </c>
      <c r="H2276" t="n">
        <v>0.0460584620836275</v>
      </c>
      <c r="I2276" t="n">
        <v>0.005405873727336</v>
      </c>
      <c r="J2276" t="n">
        <v>0.0001068154170251</v>
      </c>
      <c r="K2276" t="n">
        <v>0.9778192678988212</v>
      </c>
      <c r="L2276" t="b">
        <v>0</v>
      </c>
      <c r="M2276" t="b">
        <v>0</v>
      </c>
      <c r="N2276" t="inlineStr">
        <is>
          <t>ref</t>
        </is>
      </c>
      <c r="O2276" t="n">
        <v>90</v>
      </c>
      <c r="P2276" t="n">
        <v>0.01764</v>
      </c>
      <c r="Q2276" t="n">
        <v>95</v>
      </c>
      <c r="R2276" t="n">
        <v>0.0609</v>
      </c>
      <c r="S2276">
        <f>IMAGE("https://mitra.stanford.edu/kundaje/oak/projects/neuro-variants/variant_position/credible/roussos_2024/variant_figures/roussos_2024.adolescence.Astrocyte/rs12617537_count_position.png",4,220,900)</f>
        <v/>
      </c>
      <c r="T2276">
        <f>IMAGE("https://mitra.stanford.edu/kundaje/oak/projects/neuro-variants/variant_position/credible/roussos_2024/variant_figures/roussos_2024.adolescence.Astrocyte/rs12617537_profile_position.png",4,220,900)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-0.0169576511999999</v>
      </c>
      <c r="G2277" t="n">
        <v>0.1823066022749555</v>
      </c>
      <c r="H2277" t="n">
        <v>0.0306475104758231</v>
      </c>
      <c r="I2277" t="n">
        <v>0.0308860998627255</v>
      </c>
      <c r="J2277" t="n">
        <v>0.0015035753493753</v>
      </c>
      <c r="K2277" t="n">
        <v>0.8524473918844689</v>
      </c>
      <c r="L2277" t="b">
        <v>0</v>
      </c>
      <c r="M2277" t="b">
        <v>0</v>
      </c>
      <c r="N2277" t="inlineStr">
        <is>
          <t>ref</t>
        </is>
      </c>
      <c r="O2277" t="n">
        <v>100</v>
      </c>
      <c r="P2277" t="n">
        <v>0.00277</v>
      </c>
      <c r="Q2277" t="n">
        <v>-90</v>
      </c>
      <c r="R2277" t="n">
        <v>0.1321</v>
      </c>
      <c r="S2277">
        <f>IMAGE("https://mitra.stanford.edu/kundaje/oak/projects/neuro-variants/variant_position/credible/roussos_2024/variant_figures/roussos_2024.adolescence.Astrocyte/rs62279220_count_position.png",4,220,900)</f>
        <v/>
      </c>
      <c r="T2277">
        <f>IMAGE("https://mitra.stanford.edu/kundaje/oak/projects/neuro-variants/variant_position/credible/roussos_2024/variant_figures/roussos_2024.adolescence.Astrocyte/rs62279220_profile_position.png",4,220,900)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-0.010700884</v>
      </c>
      <c r="G2278" t="n">
        <v>0.4658644391041419</v>
      </c>
      <c r="H2278" t="n">
        <v>0.0146165502653155</v>
      </c>
      <c r="I2278" t="n">
        <v>0.3502659245152312</v>
      </c>
      <c r="J2278" t="n">
        <v>0.0375871584131976</v>
      </c>
      <c r="K2278" t="n">
        <v>0.4829241898083269</v>
      </c>
      <c r="L2278" t="b">
        <v>0</v>
      </c>
      <c r="M2278" t="b">
        <v>0</v>
      </c>
      <c r="N2278" t="inlineStr">
        <is>
          <t>ref</t>
        </is>
      </c>
      <c r="O2278" t="n">
        <v>75</v>
      </c>
      <c r="P2278" t="n">
        <v>0.001297</v>
      </c>
      <c r="Q2278" t="n">
        <v>100</v>
      </c>
      <c r="R2278" t="n">
        <v>0.05685</v>
      </c>
      <c r="S2278">
        <f>IMAGE("https://mitra.stanford.edu/kundaje/oak/projects/neuro-variants/variant_position/credible/roussos_2024/variant_figures/roussos_2024.adolescence.Astrocyte/rs10191006_count_position.png",4,220,900)</f>
        <v/>
      </c>
      <c r="T2278">
        <f>IMAGE("https://mitra.stanford.edu/kundaje/oak/projects/neuro-variants/variant_position/credible/roussos_2024/variant_figures/roussos_2024.adolescence.Astrocyte/rs10191006_profile_position.png",4,220,900)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0.0209803748</v>
      </c>
      <c r="G2279" t="n">
        <v>0.5179029259965244</v>
      </c>
      <c r="H2279" t="n">
        <v>0.0207513307686258</v>
      </c>
      <c r="I2279" t="n">
        <v>0.1214454756773423</v>
      </c>
      <c r="J2279" t="n">
        <v>0.0035427113313354</v>
      </c>
      <c r="K2279" t="n">
        <v>0.7822454919600539</v>
      </c>
      <c r="L2279" t="b">
        <v>0</v>
      </c>
      <c r="M2279" t="b">
        <v>0</v>
      </c>
      <c r="N2279" t="inlineStr">
        <is>
          <t>alt</t>
        </is>
      </c>
      <c r="O2279" t="n">
        <v>50</v>
      </c>
      <c r="P2279" t="n">
        <v>0.0277</v>
      </c>
      <c r="Q2279" t="n">
        <v>5</v>
      </c>
      <c r="R2279" t="n">
        <v>0.01617</v>
      </c>
      <c r="S2279">
        <f>IMAGE("https://mitra.stanford.edu/kundaje/oak/projects/neuro-variants/variant_position/credible/roussos_2024/variant_figures/roussos_2024.adolescence.Astrocyte/rs2697260_count_position.png",4,220,900)</f>
        <v/>
      </c>
      <c r="T2279">
        <f>IMAGE("https://mitra.stanford.edu/kundaje/oak/projects/neuro-variants/variant_position/credible/roussos_2024/variant_figures/roussos_2024.adolescence.Astrocyte/rs2697260_profile_position.png",4,220,900)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-0.010334336146</v>
      </c>
      <c r="G2280" t="n">
        <v>0.7511175862425109</v>
      </c>
      <c r="H2280" t="n">
        <v>0.0159446747956778</v>
      </c>
      <c r="I2280" t="n">
        <v>0.2734807477501929</v>
      </c>
      <c r="J2280" t="n">
        <v>0.0362185858825623</v>
      </c>
      <c r="K2280" t="n">
        <v>0.483702586442168</v>
      </c>
      <c r="L2280" t="b">
        <v>0</v>
      </c>
      <c r="M2280" t="b">
        <v>0</v>
      </c>
      <c r="N2280" t="inlineStr">
        <is>
          <t>ref</t>
        </is>
      </c>
      <c r="O2280" t="n">
        <v>60</v>
      </c>
      <c r="P2280" t="n">
        <v>0.003937</v>
      </c>
      <c r="Q2280" t="n">
        <v>-75</v>
      </c>
      <c r="R2280" t="n">
        <v>0.0756</v>
      </c>
      <c r="S2280">
        <f>IMAGE("https://mitra.stanford.edu/kundaje/oak/projects/neuro-variants/variant_position/credible/roussos_2024/variant_figures/roussos_2024.adolescence.Astrocyte/rs7595352_count_position.png",4,220,900)</f>
        <v/>
      </c>
      <c r="T2280">
        <f>IMAGE("https://mitra.stanford.edu/kundaje/oak/projects/neuro-variants/variant_position/credible/roussos_2024/variant_figures/roussos_2024.adolescence.Astrocyte/rs7595352_profile_position.png",4,220,900)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-0.0012545221</v>
      </c>
      <c r="G2281" t="n">
        <v>0.8670287101523024</v>
      </c>
      <c r="H2281" t="n">
        <v>0.0266110426741311</v>
      </c>
      <c r="I2281" t="n">
        <v>0.0495048801078032</v>
      </c>
      <c r="J2281" t="n">
        <v>0.134901937512981</v>
      </c>
      <c r="K2281" t="n">
        <v>0.2761955021520038</v>
      </c>
      <c r="L2281" t="b">
        <v>0</v>
      </c>
      <c r="M2281" t="b">
        <v>0</v>
      </c>
      <c r="N2281" t="inlineStr">
        <is>
          <t>ref</t>
        </is>
      </c>
      <c r="O2281" t="n">
        <v>-80</v>
      </c>
      <c r="P2281" t="n">
        <v>0.0117</v>
      </c>
      <c r="Q2281" t="n">
        <v>100</v>
      </c>
      <c r="R2281" t="n">
        <v>0.1072</v>
      </c>
      <c r="S2281">
        <f>IMAGE("https://mitra.stanford.edu/kundaje/oak/projects/neuro-variants/variant_position/credible/roussos_2024/variant_figures/roussos_2024.adolescence.Astrocyte/rs788007_count_position.png",4,220,900)</f>
        <v/>
      </c>
      <c r="T2281">
        <f>IMAGE("https://mitra.stanford.edu/kundaje/oak/projects/neuro-variants/variant_position/credible/roussos_2024/variant_figures/roussos_2024.adolescence.Astrocyte/rs788007_profile_position.png",4,220,900)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-0.0372558751999999</v>
      </c>
      <c r="G2282" t="n">
        <v>0.3394080193017433</v>
      </c>
      <c r="H2282" t="n">
        <v>0.0201953593888298</v>
      </c>
      <c r="I2282" t="n">
        <v>0.1323206395476743</v>
      </c>
      <c r="J2282" t="n">
        <v>0.0135277275020027</v>
      </c>
      <c r="K2282" t="n">
        <v>0.6289302825208473</v>
      </c>
      <c r="L2282" t="b">
        <v>0</v>
      </c>
      <c r="M2282" t="b">
        <v>0</v>
      </c>
      <c r="N2282" t="inlineStr">
        <is>
          <t>ref</t>
        </is>
      </c>
      <c r="O2282" t="n">
        <v>-100</v>
      </c>
      <c r="P2282" t="n">
        <v>0.003372</v>
      </c>
      <c r="Q2282" t="n">
        <v>-60</v>
      </c>
      <c r="R2282" t="n">
        <v>0.04407</v>
      </c>
      <c r="S2282">
        <f>IMAGE("https://mitra.stanford.edu/kundaje/oak/projects/neuro-variants/variant_position/credible/roussos_2024/variant_figures/roussos_2024.adolescence.Astrocyte/rs55775495_count_position.png",4,220,900)</f>
        <v/>
      </c>
      <c r="T2282">
        <f>IMAGE("https://mitra.stanford.edu/kundaje/oak/projects/neuro-variants/variant_position/credible/roussos_2024/variant_figures/roussos_2024.adolescence.Astrocyte/rs55775495_profile_position.png",4,220,900)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-0.0391201335</v>
      </c>
      <c r="G2283" t="n">
        <v>0.339374643226672</v>
      </c>
      <c r="H2283" t="n">
        <v>0.0261787904535528</v>
      </c>
      <c r="I2283" t="n">
        <v>0.0538561042505324</v>
      </c>
      <c r="J2283" t="n">
        <v>0.0060788357119543</v>
      </c>
      <c r="K2283" t="n">
        <v>0.7132433475706744</v>
      </c>
      <c r="L2283" t="b">
        <v>0</v>
      </c>
      <c r="M2283" t="b">
        <v>0</v>
      </c>
      <c r="N2283" t="inlineStr">
        <is>
          <t>ref</t>
        </is>
      </c>
      <c r="O2283" t="n">
        <v>100</v>
      </c>
      <c r="P2283" t="n">
        <v>0.01634</v>
      </c>
      <c r="Q2283" t="n">
        <v>-80</v>
      </c>
      <c r="R2283" t="n">
        <v>0.07874</v>
      </c>
      <c r="S2283">
        <f>IMAGE("https://mitra.stanford.edu/kundaje/oak/projects/neuro-variants/variant_position/credible/roussos_2024/variant_figures/roussos_2024.adolescence.Astrocyte/rs788023_count_position.png",4,220,900)</f>
        <v/>
      </c>
      <c r="T2283">
        <f>IMAGE("https://mitra.stanford.edu/kundaje/oak/projects/neuro-variants/variant_position/credible/roussos_2024/variant_figures/roussos_2024.adolescence.Astrocyte/rs788023_profile_position.png",4,220,900)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0.001803507</v>
      </c>
      <c r="G2284" t="n">
        <v>0.4156932383994925</v>
      </c>
      <c r="H2284" t="n">
        <v>0.0187367167661091</v>
      </c>
      <c r="I2284" t="n">
        <v>0.1685857987417099</v>
      </c>
      <c r="J2284" t="n">
        <v>0.9830593715692963</v>
      </c>
      <c r="K2284" t="n">
        <v>6.950741755408766e-06</v>
      </c>
      <c r="L2284" t="b">
        <v>0</v>
      </c>
      <c r="M2284" t="b">
        <v>0</v>
      </c>
      <c r="N2284" t="inlineStr">
        <is>
          <t>alt</t>
        </is>
      </c>
      <c r="O2284" t="n">
        <v>-100</v>
      </c>
      <c r="P2284" t="n">
        <v>0.01837</v>
      </c>
      <c r="Q2284" t="n">
        <v>-100</v>
      </c>
      <c r="R2284" t="n">
        <v>0.2578</v>
      </c>
      <c r="S2284">
        <f>IMAGE("https://mitra.stanford.edu/kundaje/oak/projects/neuro-variants/variant_position/credible/roussos_2024/variant_figures/roussos_2024.adolescence.Astrocyte/rs1116734_count_position.png",4,220,900)</f>
        <v/>
      </c>
      <c r="T2284">
        <f>IMAGE("https://mitra.stanford.edu/kundaje/oak/projects/neuro-variants/variant_position/credible/roussos_2024/variant_figures/roussos_2024.adolescence.Astrocyte/rs1116734_profile_position.png",4,220,900)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0.00493964386</v>
      </c>
      <c r="G2285" t="n">
        <v>0.6388474199709865</v>
      </c>
      <c r="H2285" t="n">
        <v>0.0095835856069744</v>
      </c>
      <c r="I2285" t="n">
        <v>0.8005024331652917</v>
      </c>
      <c r="J2285" t="n">
        <v>0.0016296768833634</v>
      </c>
      <c r="K2285" t="n">
        <v>0.8443341451737549</v>
      </c>
      <c r="L2285" t="b">
        <v>0</v>
      </c>
      <c r="M2285" t="b">
        <v>0</v>
      </c>
      <c r="N2285" t="inlineStr">
        <is>
          <t>alt</t>
        </is>
      </c>
      <c r="O2285" t="n">
        <v>100</v>
      </c>
      <c r="P2285" t="n">
        <v>0.00829</v>
      </c>
      <c r="Q2285" t="n">
        <v>-65</v>
      </c>
      <c r="R2285" t="n">
        <v>0.0989</v>
      </c>
      <c r="S2285">
        <f>IMAGE("https://mitra.stanford.edu/kundaje/oak/projects/neuro-variants/variant_position/credible/roussos_2024/variant_figures/roussos_2024.adolescence.Astrocyte/rs11680291_count_position.png",4,220,900)</f>
        <v/>
      </c>
      <c r="T2285">
        <f>IMAGE("https://mitra.stanford.edu/kundaje/oak/projects/neuro-variants/variant_position/credible/roussos_2024/variant_figures/roussos_2024.adolescence.Astrocyte/rs11680291_profile_position.png",4,220,900)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-0.07694744739999999</v>
      </c>
      <c r="G2286" t="n">
        <v>0.1548534079825372</v>
      </c>
      <c r="H2286" t="n">
        <v>0.0110294797968396</v>
      </c>
      <c r="I2286" t="n">
        <v>0.656983120268015</v>
      </c>
      <c r="J2286" t="n">
        <v>0.0433277453045722</v>
      </c>
      <c r="K2286" t="n">
        <v>0.4591246154912835</v>
      </c>
      <c r="L2286" t="b">
        <v>0</v>
      </c>
      <c r="M2286" t="b">
        <v>0</v>
      </c>
      <c r="N2286" t="inlineStr">
        <is>
          <t>ref</t>
        </is>
      </c>
      <c r="O2286" t="n">
        <v>95</v>
      </c>
      <c r="P2286" t="n">
        <v>0.07263</v>
      </c>
      <c r="Q2286" t="n">
        <v>100</v>
      </c>
      <c r="R2286" t="n">
        <v>0.4758</v>
      </c>
      <c r="S2286">
        <f>IMAGE("https://mitra.stanford.edu/kundaje/oak/projects/neuro-variants/variant_position/credible/roussos_2024/variant_figures/roussos_2024.adolescence.Astrocyte/rs1455653_count_position.png",4,220,900)</f>
        <v/>
      </c>
      <c r="T2286">
        <f>IMAGE("https://mitra.stanford.edu/kundaje/oak/projects/neuro-variants/variant_position/credible/roussos_2024/variant_figures/roussos_2024.adolescence.Astrocyte/rs1455653_profile_position.png",4,220,900)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-0.116766534</v>
      </c>
      <c r="G2287" t="n">
        <v>0.071466714834763</v>
      </c>
      <c r="H2287" t="n">
        <v>0.0194206255441925</v>
      </c>
      <c r="I2287" t="n">
        <v>0.1523135269792455</v>
      </c>
      <c r="J2287" t="n">
        <v>0.0163449841260421</v>
      </c>
      <c r="K2287" t="n">
        <v>0.6188317457539256</v>
      </c>
      <c r="L2287" t="b">
        <v>0</v>
      </c>
      <c r="M2287" t="b">
        <v>0</v>
      </c>
      <c r="N2287" t="inlineStr">
        <is>
          <t>ref</t>
        </is>
      </c>
      <c r="O2287" t="n">
        <v>35</v>
      </c>
      <c r="P2287" t="n">
        <v>0.01563</v>
      </c>
      <c r="Q2287" t="n">
        <v>35</v>
      </c>
      <c r="R2287" t="n">
        <v>0.1192</v>
      </c>
      <c r="S2287">
        <f>IMAGE("https://mitra.stanford.edu/kundaje/oak/projects/neuro-variants/variant_position/credible/roussos_2024/variant_figures/roussos_2024.adolescence.Astrocyte/rs34139878_count_position.png",4,220,900)</f>
        <v/>
      </c>
      <c r="T2287">
        <f>IMAGE("https://mitra.stanford.edu/kundaje/oak/projects/neuro-variants/variant_position/credible/roussos_2024/variant_figures/roussos_2024.adolescence.Astrocyte/rs34139878_profile_position.png",4,220,900)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0.09234698719999999</v>
      </c>
      <c r="G2288" t="n">
        <v>0.0867921414320038</v>
      </c>
      <c r="H2288" t="n">
        <v>0.0321253001621641</v>
      </c>
      <c r="I2288" t="n">
        <v>0.0238896148754006</v>
      </c>
      <c r="J2288" t="n">
        <v>0.3214394860991603</v>
      </c>
      <c r="K2288" t="n">
        <v>0.1230076208795686</v>
      </c>
      <c r="L2288" t="b">
        <v>0</v>
      </c>
      <c r="M2288" t="b">
        <v>0</v>
      </c>
      <c r="N2288" t="inlineStr">
        <is>
          <t>alt</t>
        </is>
      </c>
      <c r="O2288" t="n">
        <v>100</v>
      </c>
      <c r="P2288" t="n">
        <v>0.02774</v>
      </c>
      <c r="Q2288" t="n">
        <v>100</v>
      </c>
      <c r="R2288" t="n">
        <v>0.272</v>
      </c>
      <c r="S2288">
        <f>IMAGE("https://mitra.stanford.edu/kundaje/oak/projects/neuro-variants/variant_position/credible/roussos_2024/variant_figures/roussos_2024.adolescence.Astrocyte/rs1376584_count_position.png",4,220,900)</f>
        <v/>
      </c>
      <c r="T2288">
        <f>IMAGE("https://mitra.stanford.edu/kundaje/oak/projects/neuro-variants/variant_position/credible/roussos_2024/variant_figures/roussos_2024.adolescence.Astrocyte/rs1376584_profile_position.png",4,220,900)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-0.0123774901999999</v>
      </c>
      <c r="G2289" t="n">
        <v>0.5189353609803362</v>
      </c>
      <c r="H2289" t="n">
        <v>0.009388465840622201</v>
      </c>
      <c r="I2289" t="n">
        <v>0.8202112822454449</v>
      </c>
      <c r="J2289" t="n">
        <v>0.0919762335697118</v>
      </c>
      <c r="K2289" t="n">
        <v>0.3400961315733691</v>
      </c>
      <c r="L2289" t="b">
        <v>0</v>
      </c>
      <c r="M2289" t="b">
        <v>0</v>
      </c>
      <c r="N2289" t="inlineStr">
        <is>
          <t>ref</t>
        </is>
      </c>
      <c r="O2289" t="n">
        <v>35</v>
      </c>
      <c r="P2289" t="n">
        <v>0.002014</v>
      </c>
      <c r="Q2289" t="n">
        <v>-50</v>
      </c>
      <c r="R2289" t="n">
        <v>0.01367</v>
      </c>
      <c r="S2289">
        <f>IMAGE("https://mitra.stanford.edu/kundaje/oak/projects/neuro-variants/variant_position/credible/roussos_2024/variant_figures/roussos_2024.adolescence.Astrocyte/rs6733580_count_position.png",4,220,900)</f>
        <v/>
      </c>
      <c r="T2289">
        <f>IMAGE("https://mitra.stanford.edu/kundaje/oak/projects/neuro-variants/variant_position/credible/roussos_2024/variant_figures/roussos_2024.adolescence.Astrocyte/rs6733580_profile_position.png",4,220,900)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-0.0236409792</v>
      </c>
      <c r="G2290" t="n">
        <v>0.418765579474238</v>
      </c>
      <c r="H2290" t="n">
        <v>0.0100225697160871</v>
      </c>
      <c r="I2290" t="n">
        <v>0.7494690518230528</v>
      </c>
      <c r="J2290" t="n">
        <v>0.0001876687535233</v>
      </c>
      <c r="K2290" t="n">
        <v>0.9687093967050454</v>
      </c>
      <c r="L2290" t="b">
        <v>0</v>
      </c>
      <c r="M2290" t="b">
        <v>0</v>
      </c>
      <c r="N2290" t="inlineStr">
        <is>
          <t>ref</t>
        </is>
      </c>
      <c r="O2290" t="n">
        <v>-100</v>
      </c>
      <c r="P2290" t="n">
        <v>0.005074</v>
      </c>
      <c r="Q2290" t="n">
        <v>100</v>
      </c>
      <c r="R2290" t="n">
        <v>0.04703</v>
      </c>
      <c r="S2290">
        <f>IMAGE("https://mitra.stanford.edu/kundaje/oak/projects/neuro-variants/variant_position/credible/roussos_2024/variant_figures/roussos_2024.adolescence.Astrocyte/rs2345458_count_position.png",4,220,900)</f>
        <v/>
      </c>
      <c r="T2290">
        <f>IMAGE("https://mitra.stanford.edu/kundaje/oak/projects/neuro-variants/variant_position/credible/roussos_2024/variant_figures/roussos_2024.adolescence.Astrocyte/rs2345458_profile_position.png",4,220,900)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0.422940712</v>
      </c>
      <c r="G2291" t="n">
        <v>0.0024347893456831</v>
      </c>
      <c r="H2291" t="n">
        <v>0.038274488599729</v>
      </c>
      <c r="I2291" t="n">
        <v>0.0131417224353377</v>
      </c>
      <c r="J2291" t="n">
        <v>0.0323227902560602</v>
      </c>
      <c r="K2291" t="n">
        <v>0.5284540223111732</v>
      </c>
      <c r="L2291" t="b">
        <v>1</v>
      </c>
      <c r="M2291" t="b">
        <v>1</v>
      </c>
      <c r="N2291" t="inlineStr">
        <is>
          <t>alt</t>
        </is>
      </c>
      <c r="O2291" t="n">
        <v>-45</v>
      </c>
      <c r="P2291" t="n">
        <v>0.010826</v>
      </c>
      <c r="Q2291" t="n">
        <v>-65</v>
      </c>
      <c r="R2291" t="n">
        <v>0.1726</v>
      </c>
      <c r="S2291">
        <f>IMAGE("https://mitra.stanford.edu/kundaje/oak/projects/neuro-variants/variant_position/credible/roussos_2024/variant_figures/roussos_2024.adolescence.Astrocyte/rs921465_count_position.png",4,220,900)</f>
        <v/>
      </c>
      <c r="T2291">
        <f>IMAGE("https://mitra.stanford.edu/kundaje/oak/projects/neuro-variants/variant_position/credible/roussos_2024/variant_figures/roussos_2024.adolescence.Astrocyte/rs921465_profile_position.png",4,220,900)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-0.1478589348</v>
      </c>
      <c r="G2292" t="n">
        <v>0.0380152435702283</v>
      </c>
      <c r="H2292" t="n">
        <v>0.0188655776167774</v>
      </c>
      <c r="I2292" t="n">
        <v>0.1636340888487189</v>
      </c>
      <c r="J2292" t="n">
        <v>0.010143013975017</v>
      </c>
      <c r="K2292" t="n">
        <v>0.677178685451288</v>
      </c>
      <c r="L2292" t="b">
        <v>0</v>
      </c>
      <c r="M2292" t="b">
        <v>0</v>
      </c>
      <c r="N2292" t="inlineStr">
        <is>
          <t>ref</t>
        </is>
      </c>
      <c r="O2292" t="n">
        <v>35</v>
      </c>
      <c r="P2292" t="n">
        <v>0.02078</v>
      </c>
      <c r="Q2292" t="n">
        <v>-85</v>
      </c>
      <c r="R2292" t="n">
        <v>0.2008</v>
      </c>
      <c r="S2292">
        <f>IMAGE("https://mitra.stanford.edu/kundaje/oak/projects/neuro-variants/variant_position/credible/roussos_2024/variant_figures/roussos_2024.adolescence.Astrocyte/rs1868915_count_position.png",4,220,900)</f>
        <v/>
      </c>
      <c r="T2292">
        <f>IMAGE("https://mitra.stanford.edu/kundaje/oak/projects/neuro-variants/variant_position/credible/roussos_2024/variant_figures/roussos_2024.adolescence.Astrocyte/rs1868915_profile_position.png",4,220,900)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-0.0428996542</v>
      </c>
      <c r="G2293" t="n">
        <v>0.2849141831940426</v>
      </c>
      <c r="H2293" t="n">
        <v>0.0110454522693218</v>
      </c>
      <c r="I2293" t="n">
        <v>0.6506405895443734</v>
      </c>
      <c r="J2293" t="n">
        <v>0.0708735127436726</v>
      </c>
      <c r="K2293" t="n">
        <v>0.386491059454289</v>
      </c>
      <c r="L2293" t="b">
        <v>0</v>
      </c>
      <c r="M2293" t="b">
        <v>0</v>
      </c>
      <c r="N2293" t="inlineStr">
        <is>
          <t>ref</t>
        </is>
      </c>
      <c r="O2293" t="n">
        <v>-25</v>
      </c>
      <c r="P2293" t="n">
        <v>0.00227</v>
      </c>
      <c r="Q2293" t="n">
        <v>35</v>
      </c>
      <c r="R2293" t="n">
        <v>0.06995</v>
      </c>
      <c r="S2293">
        <f>IMAGE("https://mitra.stanford.edu/kundaje/oak/projects/neuro-variants/variant_position/credible/roussos_2024/variant_figures/roussos_2024.adolescence.Astrocyte/rs1376593_count_position.png",4,220,900)</f>
        <v/>
      </c>
      <c r="T2293">
        <f>IMAGE("https://mitra.stanford.edu/kundaje/oak/projects/neuro-variants/variant_position/credible/roussos_2024/variant_figures/roussos_2024.adolescence.Astrocyte/rs1376593_profile_position.png",4,220,900)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0.1545519508</v>
      </c>
      <c r="G2294" t="n">
        <v>0.0323253537752273</v>
      </c>
      <c r="H2294" t="n">
        <v>0.0192362682942375</v>
      </c>
      <c r="I2294" t="n">
        <v>0.1543919076050865</v>
      </c>
      <c r="J2294" t="n">
        <v>0.0005889683410971</v>
      </c>
      <c r="K2294" t="n">
        <v>0.927249873294558</v>
      </c>
      <c r="L2294" t="b">
        <v>0</v>
      </c>
      <c r="M2294" t="b">
        <v>0</v>
      </c>
      <c r="N2294" t="inlineStr">
        <is>
          <t>alt</t>
        </is>
      </c>
      <c r="O2294" t="n">
        <v>-100</v>
      </c>
      <c r="P2294" t="n">
        <v>0.001808</v>
      </c>
      <c r="Q2294" t="n">
        <v>-40</v>
      </c>
      <c r="R2294" t="n">
        <v>0.0635</v>
      </c>
      <c r="S2294">
        <f>IMAGE("https://mitra.stanford.edu/kundaje/oak/projects/neuro-variants/variant_position/credible/roussos_2024/variant_figures/roussos_2024.adolescence.Astrocyte/rs6731445_count_position.png",4,220,900)</f>
        <v/>
      </c>
      <c r="T2294">
        <f>IMAGE("https://mitra.stanford.edu/kundaje/oak/projects/neuro-variants/variant_position/credible/roussos_2024/variant_figures/roussos_2024.adolescence.Astrocyte/rs6731445_profile_position.png",4,220,900)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-0.0621827908</v>
      </c>
      <c r="G2295" t="n">
        <v>0.1922045442982658</v>
      </c>
      <c r="H2295" t="n">
        <v>0.0274759277169981</v>
      </c>
      <c r="I2295" t="n">
        <v>0.044265760467774</v>
      </c>
      <c r="J2295" t="n">
        <v>0.058262617571136</v>
      </c>
      <c r="K2295" t="n">
        <v>0.4141070651493048</v>
      </c>
      <c r="L2295" t="b">
        <v>0</v>
      </c>
      <c r="M2295" t="b">
        <v>0</v>
      </c>
      <c r="N2295" t="inlineStr">
        <is>
          <t>ref</t>
        </is>
      </c>
      <c r="O2295" t="n">
        <v>100</v>
      </c>
      <c r="P2295" t="n">
        <v>0.01834</v>
      </c>
      <c r="Q2295" t="n">
        <v>100</v>
      </c>
      <c r="R2295" t="n">
        <v>0.115</v>
      </c>
      <c r="S2295">
        <f>IMAGE("https://mitra.stanford.edu/kundaje/oak/projects/neuro-variants/variant_position/credible/roussos_2024/variant_figures/roussos_2024.adolescence.Astrocyte/rs6743084_count_position.png",4,220,900)</f>
        <v/>
      </c>
      <c r="T2295">
        <f>IMAGE("https://mitra.stanford.edu/kundaje/oak/projects/neuro-variants/variant_position/credible/roussos_2024/variant_figures/roussos_2024.adolescence.Astrocyte/rs6743084_profile_position.png",4,220,900)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0.200441776</v>
      </c>
      <c r="G2296" t="n">
        <v>0.0248238924564986</v>
      </c>
      <c r="H2296" t="n">
        <v>0.0202361998292621</v>
      </c>
      <c r="I2296" t="n">
        <v>0.1414557147774882</v>
      </c>
      <c r="J2296" t="n">
        <v>0.0796071566329406</v>
      </c>
      <c r="K2296" t="n">
        <v>0.3652798911630903</v>
      </c>
      <c r="L2296" t="b">
        <v>0</v>
      </c>
      <c r="M2296" t="b">
        <v>0</v>
      </c>
      <c r="N2296" t="inlineStr">
        <is>
          <t>alt</t>
        </is>
      </c>
      <c r="O2296" t="n">
        <v>75</v>
      </c>
      <c r="P2296" t="n">
        <v>0.0199</v>
      </c>
      <c r="Q2296" t="n">
        <v>60</v>
      </c>
      <c r="R2296" t="n">
        <v>0.189</v>
      </c>
      <c r="S2296">
        <f>IMAGE("https://mitra.stanford.edu/kundaje/oak/projects/neuro-variants/variant_position/credible/roussos_2024/variant_figures/roussos_2024.adolescence.Astrocyte/rs60642146_count_position.png",4,220,900)</f>
        <v/>
      </c>
      <c r="T2296">
        <f>IMAGE("https://mitra.stanford.edu/kundaje/oak/projects/neuro-variants/variant_position/credible/roussos_2024/variant_figures/roussos_2024.adolescence.Astrocyte/rs60642146_profile_position.png",4,220,900)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-0.219104318</v>
      </c>
      <c r="G2297" t="n">
        <v>0.0145916982657687</v>
      </c>
      <c r="H2297" t="n">
        <v>0.0249056273119348</v>
      </c>
      <c r="I2297" t="n">
        <v>0.0644712642179119</v>
      </c>
      <c r="J2297" t="n">
        <v>0.0489370382458534</v>
      </c>
      <c r="K2297" t="n">
        <v>0.4484197153470401</v>
      </c>
      <c r="L2297" t="b">
        <v>1</v>
      </c>
      <c r="M2297" t="b">
        <v>0</v>
      </c>
      <c r="N2297" t="inlineStr">
        <is>
          <t>ref</t>
        </is>
      </c>
      <c r="O2297" t="n">
        <v>30</v>
      </c>
      <c r="P2297" t="n">
        <v>0.01697</v>
      </c>
      <c r="Q2297" t="n">
        <v>55</v>
      </c>
      <c r="R2297" t="n">
        <v>0.1758</v>
      </c>
      <c r="S2297">
        <f>IMAGE("https://mitra.stanford.edu/kundaje/oak/projects/neuro-variants/variant_position/credible/roussos_2024/variant_figures/roussos_2024.adolescence.Astrocyte/rs896350_count_position.png",4,220,900)</f>
        <v/>
      </c>
      <c r="T2297">
        <f>IMAGE("https://mitra.stanford.edu/kundaje/oak/projects/neuro-variants/variant_position/credible/roussos_2024/variant_figures/roussos_2024.adolescence.Astrocyte/rs896350_profile_position.png",4,220,900)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-0.288912536</v>
      </c>
      <c r="G2298" t="n">
        <v>0.0071171007748556</v>
      </c>
      <c r="H2298" t="n">
        <v>0.0320995187011364</v>
      </c>
      <c r="I2298" t="n">
        <v>0.0240666834345744</v>
      </c>
      <c r="J2298" t="n">
        <v>0.0347750942052635</v>
      </c>
      <c r="K2298" t="n">
        <v>0.5092334399251732</v>
      </c>
      <c r="L2298" t="b">
        <v>1</v>
      </c>
      <c r="M2298" t="b">
        <v>1</v>
      </c>
      <c r="N2298" t="inlineStr">
        <is>
          <t>ref</t>
        </is>
      </c>
      <c r="O2298" t="n">
        <v>60</v>
      </c>
      <c r="P2298" t="n">
        <v>0.004707</v>
      </c>
      <c r="Q2298" t="n">
        <v>-85</v>
      </c>
      <c r="R2298" t="n">
        <v>0.0327</v>
      </c>
      <c r="S2298">
        <f>IMAGE("https://mitra.stanford.edu/kundaje/oak/projects/neuro-variants/variant_position/credible/roussos_2024/variant_figures/roussos_2024.adolescence.Astrocyte/rs2122844_count_position.png",4,220,900)</f>
        <v/>
      </c>
      <c r="T2298">
        <f>IMAGE("https://mitra.stanford.edu/kundaje/oak/projects/neuro-variants/variant_position/credible/roussos_2024/variant_figures/roussos_2024.adolescence.Astrocyte/rs2122844_profile_position.png",4,220,900)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0.0141228540399999</v>
      </c>
      <c r="G2299" t="n">
        <v>0.6268695453174592</v>
      </c>
      <c r="H2299" t="n">
        <v>0.0148892502218227</v>
      </c>
      <c r="I2299" t="n">
        <v>0.3320161188534664</v>
      </c>
      <c r="J2299" t="n">
        <v>0.0426282526778031</v>
      </c>
      <c r="K2299" t="n">
        <v>0.4658929699276489</v>
      </c>
      <c r="L2299" t="b">
        <v>0</v>
      </c>
      <c r="M2299" t="b">
        <v>0</v>
      </c>
      <c r="N2299" t="inlineStr">
        <is>
          <t>alt</t>
        </is>
      </c>
      <c r="O2299" t="n">
        <v>55</v>
      </c>
      <c r="P2299" t="n">
        <v>0.003868</v>
      </c>
      <c r="Q2299" t="n">
        <v>-75</v>
      </c>
      <c r="R2299" t="n">
        <v>0.2383</v>
      </c>
      <c r="S2299">
        <f>IMAGE("https://mitra.stanford.edu/kundaje/oak/projects/neuro-variants/variant_position/credible/roussos_2024/variant_figures/roussos_2024.adolescence.Astrocyte/rs281760_count_position.png",4,220,900)</f>
        <v/>
      </c>
      <c r="T2299">
        <f>IMAGE("https://mitra.stanford.edu/kundaje/oak/projects/neuro-variants/variant_position/credible/roussos_2024/variant_figures/roussos_2024.adolescence.Astrocyte/rs281760_profile_position.png",4,220,900)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-0.0346400602</v>
      </c>
      <c r="G2300" t="n">
        <v>0.3664000271159474</v>
      </c>
      <c r="H2300" t="n">
        <v>0.0249470521825819</v>
      </c>
      <c r="I2300" t="n">
        <v>0.0632090926420579</v>
      </c>
      <c r="J2300" t="n">
        <v>0.0053207429605672</v>
      </c>
      <c r="K2300" t="n">
        <v>0.7510583487188075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0.01167</v>
      </c>
      <c r="Q2300" t="n">
        <v>-50</v>
      </c>
      <c r="R2300" t="n">
        <v>0.06177</v>
      </c>
      <c r="S2300">
        <f>IMAGE("https://mitra.stanford.edu/kundaje/oak/projects/neuro-variants/variant_position/credible/roussos_2024/variant_figures/roussos_2024.adolescence.Astrocyte/rs176008_count_position.png",4,220,900)</f>
        <v/>
      </c>
      <c r="T2300">
        <f>IMAGE("https://mitra.stanford.edu/kundaje/oak/projects/neuro-variants/variant_position/credible/roussos_2024/variant_figures/roussos_2024.adolescence.Astrocyte/rs176008_profile_position.png",4,220,900)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0.0294013336999999</v>
      </c>
      <c r="G2301" t="n">
        <v>0.4217347532153999</v>
      </c>
      <c r="H2301" t="n">
        <v>0.015983618659697</v>
      </c>
      <c r="I2301" t="n">
        <v>0.271316178818394</v>
      </c>
      <c r="J2301" t="n">
        <v>0.8402048779040442</v>
      </c>
      <c r="K2301" t="n">
        <v>0.004441635818615</v>
      </c>
      <c r="L2301" t="b">
        <v>0</v>
      </c>
      <c r="M2301" t="b">
        <v>0</v>
      </c>
      <c r="N2301" t="inlineStr">
        <is>
          <t>alt</t>
        </is>
      </c>
      <c r="O2301" t="n">
        <v>-100</v>
      </c>
      <c r="P2301" t="n">
        <v>0.04028</v>
      </c>
      <c r="Q2301" t="n">
        <v>-100</v>
      </c>
      <c r="R2301" t="n">
        <v>0.1495</v>
      </c>
      <c r="S2301">
        <f>IMAGE("https://mitra.stanford.edu/kundaje/oak/projects/neuro-variants/variant_position/credible/roussos_2024/variant_figures/roussos_2024.adolescence.Astrocyte/rs281766_count_position.png",4,220,900)</f>
        <v/>
      </c>
      <c r="T2301">
        <f>IMAGE("https://mitra.stanford.edu/kundaje/oak/projects/neuro-variants/variant_position/credible/roussos_2024/variant_figures/roussos_2024.adolescence.Astrocyte/rs281766_profile_position.png",4,220,900)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-0.03595878158</v>
      </c>
      <c r="G2302" t="n">
        <v>0.4055374183055619</v>
      </c>
      <c r="H2302" t="n">
        <v>0.0115824081711099</v>
      </c>
      <c r="I2302" t="n">
        <v>0.6009236131348193</v>
      </c>
      <c r="J2302" t="n">
        <v>0.0001498382933269</v>
      </c>
      <c r="K2302" t="n">
        <v>0.9680213593811172</v>
      </c>
      <c r="L2302" t="b">
        <v>0</v>
      </c>
      <c r="M2302" t="b">
        <v>0</v>
      </c>
      <c r="N2302" t="inlineStr">
        <is>
          <t>ref</t>
        </is>
      </c>
      <c r="O2302" t="n">
        <v>45</v>
      </c>
      <c r="P2302" t="n">
        <v>0.001171</v>
      </c>
      <c r="Q2302" t="n">
        <v>45</v>
      </c>
      <c r="R2302" t="n">
        <v>0.06665</v>
      </c>
      <c r="S2302">
        <f>IMAGE("https://mitra.stanford.edu/kundaje/oak/projects/neuro-variants/variant_position/credible/roussos_2024/variant_figures/roussos_2024.adolescence.Astrocyte/rs10178177_count_position.png",4,220,900)</f>
        <v/>
      </c>
      <c r="T2302">
        <f>IMAGE("https://mitra.stanford.edu/kundaje/oak/projects/neuro-variants/variant_position/credible/roussos_2024/variant_figures/roussos_2024.adolescence.Astrocyte/rs10178177_profile_position.png",4,220,900)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-0.1284075158</v>
      </c>
      <c r="G2303" t="n">
        <v>0.050288586267238</v>
      </c>
      <c r="H2303" t="n">
        <v>0.0146039232022955</v>
      </c>
      <c r="I2303" t="n">
        <v>0.3565497008030272</v>
      </c>
      <c r="J2303" t="n">
        <v>0.0285694151855917</v>
      </c>
      <c r="K2303" t="n">
        <v>0.5301627438676098</v>
      </c>
      <c r="L2303" t="b">
        <v>0</v>
      </c>
      <c r="M2303" t="b">
        <v>0</v>
      </c>
      <c r="N2303" t="inlineStr">
        <is>
          <t>ref</t>
        </is>
      </c>
      <c r="O2303" t="n">
        <v>100</v>
      </c>
      <c r="P2303" t="n">
        <v>0.008354</v>
      </c>
      <c r="Q2303" t="n">
        <v>85</v>
      </c>
      <c r="R2303" t="n">
        <v>0.08840000000000001</v>
      </c>
      <c r="S2303">
        <f>IMAGE("https://mitra.stanford.edu/kundaje/oak/projects/neuro-variants/variant_position/credible/roussos_2024/variant_figures/roussos_2024.adolescence.Astrocyte/rs281793_count_position.png",4,220,900)</f>
        <v/>
      </c>
      <c r="T2303">
        <f>IMAGE("https://mitra.stanford.edu/kundaje/oak/projects/neuro-variants/variant_position/credible/roussos_2024/variant_figures/roussos_2024.adolescence.Astrocyte/rs281793_profile_position.png",4,220,900)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0.1452939412</v>
      </c>
      <c r="G2304" t="n">
        <v>0.0415082177093465</v>
      </c>
      <c r="H2304" t="n">
        <v>0.0254479570377644</v>
      </c>
      <c r="I2304" t="n">
        <v>0.0650242738886246</v>
      </c>
      <c r="J2304" t="n">
        <v>0.0225514049194433</v>
      </c>
      <c r="K2304" t="n">
        <v>0.5931299931272479</v>
      </c>
      <c r="L2304" t="b">
        <v>0</v>
      </c>
      <c r="M2304" t="b">
        <v>0</v>
      </c>
      <c r="N2304" t="inlineStr">
        <is>
          <t>alt</t>
        </is>
      </c>
      <c r="O2304" t="n">
        <v>-10</v>
      </c>
      <c r="P2304" t="n">
        <v>0.001831</v>
      </c>
      <c r="Q2304" t="n">
        <v>100</v>
      </c>
      <c r="R2304" t="n">
        <v>0.02887</v>
      </c>
      <c r="S2304">
        <f>IMAGE("https://mitra.stanford.edu/kundaje/oak/projects/neuro-variants/variant_position/credible/roussos_2024/variant_figures/roussos_2024.adolescence.Astrocyte/rs2202922_count_position.png",4,220,900)</f>
        <v/>
      </c>
      <c r="T2304">
        <f>IMAGE("https://mitra.stanford.edu/kundaje/oak/projects/neuro-variants/variant_position/credible/roussos_2024/variant_figures/roussos_2024.adolescence.Astrocyte/rs2202922_profile_position.png",4,220,900)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0.1358327364</v>
      </c>
      <c r="G2305" t="n">
        <v>0.0439995032676053</v>
      </c>
      <c r="H2305" t="n">
        <v>0.0263652485696668</v>
      </c>
      <c r="I2305" t="n">
        <v>0.0524371870991524</v>
      </c>
      <c r="J2305" t="n">
        <v>0.0015681096638281</v>
      </c>
      <c r="K2305" t="n">
        <v>0.8782939947888115</v>
      </c>
      <c r="L2305" t="b">
        <v>0</v>
      </c>
      <c r="M2305" t="b">
        <v>0</v>
      </c>
      <c r="N2305" t="inlineStr">
        <is>
          <t>alt</t>
        </is>
      </c>
      <c r="O2305" t="n">
        <v>55</v>
      </c>
      <c r="P2305" t="n">
        <v>0.002563</v>
      </c>
      <c r="Q2305" t="n">
        <v>-95</v>
      </c>
      <c r="R2305" t="n">
        <v>0.09279999999999999</v>
      </c>
      <c r="S2305">
        <f>IMAGE("https://mitra.stanford.edu/kundaje/oak/projects/neuro-variants/variant_position/credible/roussos_2024/variant_figures/roussos_2024.adolescence.Astrocyte/rs3106089_count_position.png",4,220,900)</f>
        <v/>
      </c>
      <c r="T2305">
        <f>IMAGE("https://mitra.stanford.edu/kundaje/oak/projects/neuro-variants/variant_position/credible/roussos_2024/variant_figures/roussos_2024.adolescence.Astrocyte/rs3106089_profile_position.png",4,220,900)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0.0098966219999999</v>
      </c>
      <c r="G2306" t="n">
        <v>0.7415335539019761</v>
      </c>
      <c r="H2306" t="n">
        <v>0.0229574496070299</v>
      </c>
      <c r="I2306" t="n">
        <v>0.0854679235345286</v>
      </c>
      <c r="J2306" t="n">
        <v>0.0014850310061418</v>
      </c>
      <c r="K2306" t="n">
        <v>0.867602669016454</v>
      </c>
      <c r="L2306" t="b">
        <v>0</v>
      </c>
      <c r="M2306" t="b">
        <v>0</v>
      </c>
      <c r="N2306" t="inlineStr">
        <is>
          <t>alt</t>
        </is>
      </c>
      <c r="O2306" t="n">
        <v>95</v>
      </c>
      <c r="P2306" t="n">
        <v>0.02014</v>
      </c>
      <c r="Q2306" t="n">
        <v>100</v>
      </c>
      <c r="R2306" t="n">
        <v>0.3594</v>
      </c>
      <c r="S2306">
        <f>IMAGE("https://mitra.stanford.edu/kundaje/oak/projects/neuro-variants/variant_position/credible/roussos_2024/variant_figures/roussos_2024.adolescence.Astrocyte/rs1509830_count_position.png",4,220,900)</f>
        <v/>
      </c>
      <c r="T2306">
        <f>IMAGE("https://mitra.stanford.edu/kundaje/oak/projects/neuro-variants/variant_position/credible/roussos_2024/variant_figures/roussos_2024.adolescence.Astrocyte/rs1509830_profile_position.png",4,220,900)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-0.00335064136</v>
      </c>
      <c r="G2307" t="n">
        <v>0.6267986558026808</v>
      </c>
      <c r="H2307" t="n">
        <v>0.0180155746547857</v>
      </c>
      <c r="I2307" t="n">
        <v>0.1910421920673993</v>
      </c>
      <c r="J2307" t="n">
        <v>0.1172588493605909</v>
      </c>
      <c r="K2307" t="n">
        <v>0.3039358000275863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0.11914</v>
      </c>
      <c r="Q2307" t="n">
        <v>100</v>
      </c>
      <c r="R2307" t="n">
        <v>0.4373</v>
      </c>
      <c r="S2307">
        <f>IMAGE("https://mitra.stanford.edu/kundaje/oak/projects/neuro-variants/variant_position/credible/roussos_2024/variant_figures/roussos_2024.adolescence.Astrocyte/rs2079196_count_position.png",4,220,900)</f>
        <v/>
      </c>
      <c r="T2307">
        <f>IMAGE("https://mitra.stanford.edu/kundaje/oak/projects/neuro-variants/variant_position/credible/roussos_2024/variant_figures/roussos_2024.adolescence.Astrocyte/rs2079196_profile_position.png",4,220,900)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0.240741752</v>
      </c>
      <c r="G2308" t="n">
        <v>0.0121907384431881</v>
      </c>
      <c r="H2308" t="n">
        <v>0.0337283852110659</v>
      </c>
      <c r="I2308" t="n">
        <v>0.0197769953507214</v>
      </c>
      <c r="J2308" t="n">
        <v>0.0030457229326765</v>
      </c>
      <c r="K2308" t="n">
        <v>0.790077070165537</v>
      </c>
      <c r="L2308" t="b">
        <v>1</v>
      </c>
      <c r="M2308" t="b">
        <v>0</v>
      </c>
      <c r="N2308" t="inlineStr">
        <is>
          <t>alt</t>
        </is>
      </c>
      <c r="O2308" t="n">
        <v>75</v>
      </c>
      <c r="P2308" t="n">
        <v>0.01013</v>
      </c>
      <c r="Q2308" t="n">
        <v>-80</v>
      </c>
      <c r="R2308" t="n">
        <v>0.07556</v>
      </c>
      <c r="S2308">
        <f>IMAGE("https://mitra.stanford.edu/kundaje/oak/projects/neuro-variants/variant_position/credible/roussos_2024/variant_figures/roussos_2024.adolescence.Astrocyte/rs3115414_count_position.png",4,220,900)</f>
        <v/>
      </c>
      <c r="T2308">
        <f>IMAGE("https://mitra.stanford.edu/kundaje/oak/projects/neuro-variants/variant_position/credible/roussos_2024/variant_figures/roussos_2024.adolescence.Astrocyte/rs3115414_profile_position.png",4,220,900)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-0.1162737198</v>
      </c>
      <c r="G2309" t="n">
        <v>0.0783610007303388</v>
      </c>
      <c r="H2309" t="n">
        <v>0.0248744891754682</v>
      </c>
      <c r="I2309" t="n">
        <v>0.0743611413235044</v>
      </c>
      <c r="J2309" t="n">
        <v>0.1535805417915318</v>
      </c>
      <c r="K2309" t="n">
        <v>0.2502847340037071</v>
      </c>
      <c r="L2309" t="b">
        <v>0</v>
      </c>
      <c r="M2309" t="b">
        <v>0</v>
      </c>
      <c r="N2309" t="inlineStr">
        <is>
          <t>ref</t>
        </is>
      </c>
      <c r="O2309" t="n">
        <v>-95</v>
      </c>
      <c r="P2309" t="n">
        <v>0.0192</v>
      </c>
      <c r="Q2309" t="n">
        <v>-95</v>
      </c>
      <c r="R2309" t="n">
        <v>0.2236</v>
      </c>
      <c r="S2309">
        <f>IMAGE("https://mitra.stanford.edu/kundaje/oak/projects/neuro-variants/variant_position/credible/roussos_2024/variant_figures/roussos_2024.adolescence.Astrocyte/rs76568708_count_position.png",4,220,900)</f>
        <v/>
      </c>
      <c r="T2309">
        <f>IMAGE("https://mitra.stanford.edu/kundaje/oak/projects/neuro-variants/variant_position/credible/roussos_2024/variant_figures/roussos_2024.adolescence.Astrocyte/rs76568708_profile_position.png",4,220,900)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-0.1606882899999999</v>
      </c>
      <c r="G2310" t="n">
        <v>0.0311564822000305</v>
      </c>
      <c r="H2310" t="n">
        <v>0.0247571824876693</v>
      </c>
      <c r="I2310" t="n">
        <v>0.0662515543921209</v>
      </c>
      <c r="J2310" t="n">
        <v>0.0013871168738687</v>
      </c>
      <c r="K2310" t="n">
        <v>0.8478907687350654</v>
      </c>
      <c r="L2310" t="b">
        <v>0</v>
      </c>
      <c r="M2310" t="b">
        <v>0</v>
      </c>
      <c r="N2310" t="inlineStr">
        <is>
          <t>ref</t>
        </is>
      </c>
      <c r="O2310" t="n">
        <v>-40</v>
      </c>
      <c r="P2310" t="n">
        <v>0.002449</v>
      </c>
      <c r="Q2310" t="n">
        <v>-20</v>
      </c>
      <c r="R2310" t="n">
        <v>0.03442</v>
      </c>
      <c r="S2310">
        <f>IMAGE("https://mitra.stanford.edu/kundaje/oak/projects/neuro-variants/variant_position/credible/roussos_2024/variant_figures/roussos_2024.adolescence.Astrocyte/rs10931887_count_position.png",4,220,900)</f>
        <v/>
      </c>
      <c r="T2310">
        <f>IMAGE("https://mitra.stanford.edu/kundaje/oak/projects/neuro-variants/variant_position/credible/roussos_2024/variant_figures/roussos_2024.adolescence.Astrocyte/rs10931887_profile_position.png",4,220,900)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-0.290528028</v>
      </c>
      <c r="G2311" t="n">
        <v>0.0070217799754158</v>
      </c>
      <c r="H2311" t="n">
        <v>0.0417902185447206</v>
      </c>
      <c r="I2311" t="n">
        <v>0.0082488693096872</v>
      </c>
      <c r="J2311" t="n">
        <v>4.895706613654086e-05</v>
      </c>
      <c r="K2311" t="n">
        <v>0.9947519962440704</v>
      </c>
      <c r="L2311" t="b">
        <v>1</v>
      </c>
      <c r="M2311" t="b">
        <v>1</v>
      </c>
      <c r="N2311" t="inlineStr">
        <is>
          <t>ref</t>
        </is>
      </c>
      <c r="O2311" t="n">
        <v>-90</v>
      </c>
      <c r="P2311" t="n">
        <v>0.01614</v>
      </c>
      <c r="Q2311" t="n">
        <v>30</v>
      </c>
      <c r="R2311" t="n">
        <v>0.04398</v>
      </c>
      <c r="S2311">
        <f>IMAGE("https://mitra.stanford.edu/kundaje/oak/projects/neuro-variants/variant_position/credible/roussos_2024/variant_figures/roussos_2024.adolescence.Astrocyte/rs112403441_count_position.png",4,220,900)</f>
        <v/>
      </c>
      <c r="T2311">
        <f>IMAGE("https://mitra.stanford.edu/kundaje/oak/projects/neuro-variants/variant_position/credible/roussos_2024/variant_figures/roussos_2024.adolescence.Astrocyte/rs112403441_profile_position.png",4,220,900)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0.0273976812</v>
      </c>
      <c r="G2312" t="n">
        <v>0.452266732140149</v>
      </c>
      <c r="H2312" t="n">
        <v>0.0423876733624887</v>
      </c>
      <c r="I2312" t="n">
        <v>0.0075970386718957</v>
      </c>
      <c r="J2312" t="n">
        <v>0.0056834703142153</v>
      </c>
      <c r="K2312" t="n">
        <v>0.7221909381569903</v>
      </c>
      <c r="L2312" t="b">
        <v>0</v>
      </c>
      <c r="M2312" t="b">
        <v>0</v>
      </c>
      <c r="N2312" t="inlineStr">
        <is>
          <t>alt</t>
        </is>
      </c>
      <c r="O2312" t="n">
        <v>85</v>
      </c>
      <c r="P2312" t="n">
        <v>0.02203</v>
      </c>
      <c r="Q2312" t="n">
        <v>85</v>
      </c>
      <c r="R2312" t="n">
        <v>0.2903</v>
      </c>
      <c r="S2312">
        <f>IMAGE("https://mitra.stanford.edu/kundaje/oak/projects/neuro-variants/variant_position/credible/roussos_2024/variant_figures/roussos_2024.adolescence.Astrocyte/rs74266489_count_position.png",4,220,900)</f>
        <v/>
      </c>
      <c r="T2312">
        <f>IMAGE("https://mitra.stanford.edu/kundaje/oak/projects/neuro-variants/variant_position/credible/roussos_2024/variant_figures/roussos_2024.adolescence.Astrocyte/rs74266489_profile_position.png",4,220,900)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-0.013249840486</v>
      </c>
      <c r="G2313" t="n">
        <v>0.6565794557401534</v>
      </c>
      <c r="H2313" t="n">
        <v>0.012527201273867</v>
      </c>
      <c r="I2313" t="n">
        <v>0.4968100278361846</v>
      </c>
      <c r="J2313" t="n">
        <v>0.06279114618876649</v>
      </c>
      <c r="K2313" t="n">
        <v>0.4202043583257953</v>
      </c>
      <c r="L2313" t="b">
        <v>0</v>
      </c>
      <c r="M2313" t="b">
        <v>0</v>
      </c>
      <c r="N2313" t="inlineStr">
        <is>
          <t>ref</t>
        </is>
      </c>
      <c r="O2313" t="n">
        <v>20</v>
      </c>
      <c r="P2313" t="n">
        <v>0.001671</v>
      </c>
      <c r="Q2313" t="n">
        <v>-50</v>
      </c>
      <c r="R2313" t="n">
        <v>0.09845</v>
      </c>
      <c r="S2313">
        <f>IMAGE("https://mitra.stanford.edu/kundaje/oak/projects/neuro-variants/variant_position/credible/roussos_2024/variant_figures/roussos_2024.adolescence.Astrocyte/rs11684942_count_position.png",4,220,900)</f>
        <v/>
      </c>
      <c r="T2313">
        <f>IMAGE("https://mitra.stanford.edu/kundaje/oak/projects/neuro-variants/variant_position/credible/roussos_2024/variant_figures/roussos_2024.adolescence.Astrocyte/rs11684942_profile_position.png",4,220,900)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-0.08781291899999991</v>
      </c>
      <c r="G2314" t="n">
        <v>0.1324316801045374</v>
      </c>
      <c r="H2314" t="n">
        <v>0.0136713437469848</v>
      </c>
      <c r="I2314" t="n">
        <v>0.4161981814957017</v>
      </c>
      <c r="J2314" t="n">
        <v>0.0595266000059341</v>
      </c>
      <c r="K2314" t="n">
        <v>0.4245557479092355</v>
      </c>
      <c r="L2314" t="b">
        <v>0</v>
      </c>
      <c r="M2314" t="b">
        <v>0</v>
      </c>
      <c r="N2314" t="inlineStr">
        <is>
          <t>ref</t>
        </is>
      </c>
      <c r="O2314" t="n">
        <v>-45</v>
      </c>
      <c r="P2314" t="n">
        <v>0.048</v>
      </c>
      <c r="Q2314" t="n">
        <v>95</v>
      </c>
      <c r="R2314" t="n">
        <v>0.1862</v>
      </c>
      <c r="S2314">
        <f>IMAGE("https://mitra.stanford.edu/kundaje/oak/projects/neuro-variants/variant_position/credible/roussos_2024/variant_figures/roussos_2024.adolescence.Astrocyte/rs72932296_count_position.png",4,220,900)</f>
        <v/>
      </c>
      <c r="T2314">
        <f>IMAGE("https://mitra.stanford.edu/kundaje/oak/projects/neuro-variants/variant_position/credible/roussos_2024/variant_figures/roussos_2024.adolescence.Astrocyte/rs72932296_profile_position.png",4,220,900)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-0.02102058128</v>
      </c>
      <c r="G2315" t="n">
        <v>0.5594209854936918</v>
      </c>
      <c r="H2315" t="n">
        <v>0.0170116270423556</v>
      </c>
      <c r="I2315" t="n">
        <v>0.2296712797480802</v>
      </c>
      <c r="J2315" t="n">
        <v>0.138906032103967</v>
      </c>
      <c r="K2315" t="n">
        <v>0.2661353315395062</v>
      </c>
      <c r="L2315" t="b">
        <v>0</v>
      </c>
      <c r="M2315" t="b">
        <v>0</v>
      </c>
      <c r="N2315" t="inlineStr">
        <is>
          <t>ref</t>
        </is>
      </c>
      <c r="O2315" t="n">
        <v>35</v>
      </c>
      <c r="P2315" t="n">
        <v>0.00734</v>
      </c>
      <c r="Q2315" t="n">
        <v>35</v>
      </c>
      <c r="R2315" t="n">
        <v>0.0886</v>
      </c>
      <c r="S2315">
        <f>IMAGE("https://mitra.stanford.edu/kundaje/oak/projects/neuro-variants/variant_position/credible/roussos_2024/variant_figures/roussos_2024.adolescence.Astrocyte/rs1569178_count_position.png",4,220,900)</f>
        <v/>
      </c>
      <c r="T2315">
        <f>IMAGE("https://mitra.stanford.edu/kundaje/oak/projects/neuro-variants/variant_position/credible/roussos_2024/variant_figures/roussos_2024.adolescence.Astrocyte/rs1569178_profile_position.png",4,220,900)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-0.0465182274</v>
      </c>
      <c r="G2316" t="n">
        <v>0.2605045254520131</v>
      </c>
      <c r="H2316" t="n">
        <v>0.0155656334857858</v>
      </c>
      <c r="I2316" t="n">
        <v>0.2880444773104307</v>
      </c>
      <c r="J2316" t="n">
        <v>0.0037941726255822</v>
      </c>
      <c r="K2316" t="n">
        <v>0.7800356326222088</v>
      </c>
      <c r="L2316" t="b">
        <v>0</v>
      </c>
      <c r="M2316" t="b">
        <v>0</v>
      </c>
      <c r="N2316" t="inlineStr">
        <is>
          <t>ref</t>
        </is>
      </c>
      <c r="O2316" t="n">
        <v>100</v>
      </c>
      <c r="P2316" t="n">
        <v>0.008189999999999999</v>
      </c>
      <c r="Q2316" t="n">
        <v>-55</v>
      </c>
      <c r="R2316" t="n">
        <v>0.05103</v>
      </c>
      <c r="S2316">
        <f>IMAGE("https://mitra.stanford.edu/kundaje/oak/projects/neuro-variants/variant_position/credible/roussos_2024/variant_figures/roussos_2024.adolescence.Astrocyte/rs11679676_count_position.png",4,220,900)</f>
        <v/>
      </c>
      <c r="T2316">
        <f>IMAGE("https://mitra.stanford.edu/kundaje/oak/projects/neuro-variants/variant_position/credible/roussos_2024/variant_figures/roussos_2024.adolescence.Astrocyte/rs11679676_profile_position.png",4,220,900)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-0.010049121094</v>
      </c>
      <c r="G2317" t="n">
        <v>0.7489828037961396</v>
      </c>
      <c r="H2317" t="n">
        <v>0.0329591877055995</v>
      </c>
      <c r="I2317" t="n">
        <v>0.0212815542315108</v>
      </c>
      <c r="J2317" t="n">
        <v>0.0595043467940539</v>
      </c>
      <c r="K2317" t="n">
        <v>0.4199955124868001</v>
      </c>
      <c r="L2317" t="b">
        <v>0</v>
      </c>
      <c r="M2317" t="b">
        <v>0</v>
      </c>
      <c r="N2317" t="inlineStr">
        <is>
          <t>ref</t>
        </is>
      </c>
      <c r="O2317" t="n">
        <v>-65</v>
      </c>
      <c r="P2317" t="n">
        <v>0.01407</v>
      </c>
      <c r="Q2317" t="n">
        <v>90</v>
      </c>
      <c r="R2317" t="n">
        <v>0.2354</v>
      </c>
      <c r="S2317">
        <f>IMAGE("https://mitra.stanford.edu/kundaje/oak/projects/neuro-variants/variant_position/credible/roussos_2024/variant_figures/roussos_2024.adolescence.Astrocyte/rs55906940_count_position.png",4,220,900)</f>
        <v/>
      </c>
      <c r="T2317">
        <f>IMAGE("https://mitra.stanford.edu/kundaje/oak/projects/neuro-variants/variant_position/credible/roussos_2024/variant_figures/roussos_2024.adolescence.Astrocyte/rs55906940_profile_position.png",4,220,900)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-0.00396034282</v>
      </c>
      <c r="G2318" t="n">
        <v>0.860119603931224</v>
      </c>
      <c r="H2318" t="n">
        <v>0.0208948444747384</v>
      </c>
      <c r="I2318" t="n">
        <v>0.1183678791045299</v>
      </c>
      <c r="J2318" t="n">
        <v>2.596208052695605e-05</v>
      </c>
      <c r="K2318" t="n">
        <v>0.9987391322051444</v>
      </c>
      <c r="L2318" t="b">
        <v>0</v>
      </c>
      <c r="M2318" t="b">
        <v>0</v>
      </c>
      <c r="N2318" t="inlineStr">
        <is>
          <t>ref</t>
        </is>
      </c>
      <c r="O2318" t="n">
        <v>-85</v>
      </c>
      <c r="P2318" t="n">
        <v>0.008059999999999999</v>
      </c>
      <c r="Q2318" t="n">
        <v>-100</v>
      </c>
      <c r="R2318" t="n">
        <v>0.12</v>
      </c>
      <c r="S2318">
        <f>IMAGE("https://mitra.stanford.edu/kundaje/oak/projects/neuro-variants/variant_position/credible/roussos_2024/variant_figures/roussos_2024.adolescence.Astrocyte/rs149828043_count_position.png",4,220,900)</f>
        <v/>
      </c>
      <c r="T2318">
        <f>IMAGE("https://mitra.stanford.edu/kundaje/oak/projects/neuro-variants/variant_position/credible/roussos_2024/variant_figures/roussos_2024.adolescence.Astrocyte/rs149828043_profile_position.png",4,220,900)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-0.00239842862</v>
      </c>
      <c r="G2319" t="n">
        <v>0.853607159614336</v>
      </c>
      <c r="H2319" t="n">
        <v>0.0259365936540129</v>
      </c>
      <c r="I2319" t="n">
        <v>0.0555240503904996</v>
      </c>
      <c r="J2319" t="n">
        <v>0.0174873156692282</v>
      </c>
      <c r="K2319" t="n">
        <v>0.5859584462231595</v>
      </c>
      <c r="L2319" t="b">
        <v>0</v>
      </c>
      <c r="M2319" t="b">
        <v>0</v>
      </c>
      <c r="N2319" t="inlineStr">
        <is>
          <t>ref</t>
        </is>
      </c>
      <c r="O2319" t="n">
        <v>-30</v>
      </c>
      <c r="P2319" t="n">
        <v>0.00525</v>
      </c>
      <c r="Q2319" t="n">
        <v>-85</v>
      </c>
      <c r="R2319" t="n">
        <v>0.1071</v>
      </c>
      <c r="S2319">
        <f>IMAGE("https://mitra.stanford.edu/kundaje/oak/projects/neuro-variants/variant_position/credible/roussos_2024/variant_figures/roussos_2024.adolescence.Astrocyte/rs77089299_count_position.png",4,220,900)</f>
        <v/>
      </c>
      <c r="T2319">
        <f>IMAGE("https://mitra.stanford.edu/kundaje/oak/projects/neuro-variants/variant_position/credible/roussos_2024/variant_figures/roussos_2024.adolescence.Astrocyte/rs77089299_profile_position.png",4,220,900)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0.0989342132</v>
      </c>
      <c r="G2320" t="n">
        <v>0.0958360870106531</v>
      </c>
      <c r="H2320" t="n">
        <v>0.0166803920358168</v>
      </c>
      <c r="I2320" t="n">
        <v>0.2536498909567682</v>
      </c>
      <c r="J2320" t="n">
        <v>0.0024879090882116</v>
      </c>
      <c r="K2320" t="n">
        <v>0.8032834446356022</v>
      </c>
      <c r="L2320" t="b">
        <v>0</v>
      </c>
      <c r="M2320" t="b">
        <v>0</v>
      </c>
      <c r="N2320" t="inlineStr">
        <is>
          <t>alt</t>
        </is>
      </c>
      <c r="O2320" t="n">
        <v>-95</v>
      </c>
      <c r="P2320" t="n">
        <v>0.004982</v>
      </c>
      <c r="Q2320" t="n">
        <v>80</v>
      </c>
      <c r="R2320" t="n">
        <v>0.02716</v>
      </c>
      <c r="S2320">
        <f>IMAGE("https://mitra.stanford.edu/kundaje/oak/projects/neuro-variants/variant_position/credible/roussos_2024/variant_figures/roussos_2024.adolescence.Astrocyte/rs66621598_count_position.png",4,220,900)</f>
        <v/>
      </c>
      <c r="T2320">
        <f>IMAGE("https://mitra.stanford.edu/kundaje/oak/projects/neuro-variants/variant_position/credible/roussos_2024/variant_figures/roussos_2024.adolescence.Astrocyte/rs66621598_profile_position.png",4,220,900)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0.007218874674</v>
      </c>
      <c r="G2321" t="n">
        <v>0.7658120696180145</v>
      </c>
      <c r="H2321" t="n">
        <v>0.0298163470944568</v>
      </c>
      <c r="I2321" t="n">
        <v>0.0321512326202109</v>
      </c>
      <c r="J2321" t="n">
        <v>0.0155943091119484</v>
      </c>
      <c r="K2321" t="n">
        <v>0.6070049718259974</v>
      </c>
      <c r="L2321" t="b">
        <v>0</v>
      </c>
      <c r="M2321" t="b">
        <v>0</v>
      </c>
      <c r="N2321" t="inlineStr">
        <is>
          <t>alt</t>
        </is>
      </c>
      <c r="O2321" t="n">
        <v>-90</v>
      </c>
      <c r="P2321" t="n">
        <v>0.000824</v>
      </c>
      <c r="Q2321" t="n">
        <v>-25</v>
      </c>
      <c r="R2321" t="n">
        <v>0.04608</v>
      </c>
      <c r="S2321">
        <f>IMAGE("https://mitra.stanford.edu/kundaje/oak/projects/neuro-variants/variant_position/credible/roussos_2024/variant_figures/roussos_2024.adolescence.Astrocyte/rs4673871_count_position.png",4,220,900)</f>
        <v/>
      </c>
      <c r="T2321">
        <f>IMAGE("https://mitra.stanford.edu/kundaje/oak/projects/neuro-variants/variant_position/credible/roussos_2024/variant_figures/roussos_2024.adolescence.Astrocyte/rs4673871_profile_position.png",4,220,900)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0.0230518807599999</v>
      </c>
      <c r="G2322" t="n">
        <v>0.4886816622891364</v>
      </c>
      <c r="H2322" t="n">
        <v>0.00794247786933</v>
      </c>
      <c r="I2322" t="n">
        <v>0.9331873037875688</v>
      </c>
      <c r="J2322" t="n">
        <v>0.026561433700264</v>
      </c>
      <c r="K2322" t="n">
        <v>0.5369137225633061</v>
      </c>
      <c r="L2322" t="b">
        <v>0</v>
      </c>
      <c r="M2322" t="b">
        <v>0</v>
      </c>
      <c r="N2322" t="inlineStr">
        <is>
          <t>alt</t>
        </is>
      </c>
      <c r="O2322" t="n">
        <v>-85</v>
      </c>
      <c r="P2322" t="n">
        <v>0.01888</v>
      </c>
      <c r="Q2322" t="n">
        <v>45</v>
      </c>
      <c r="R2322" t="n">
        <v>0.05646</v>
      </c>
      <c r="S2322">
        <f>IMAGE("https://mitra.stanford.edu/kundaje/oak/projects/neuro-variants/variant_position/credible/roussos_2024/variant_figures/roussos_2024.adolescence.Astrocyte/rs11688415_count_position.png",4,220,900)</f>
        <v/>
      </c>
      <c r="T2322">
        <f>IMAGE("https://mitra.stanford.edu/kundaje/oak/projects/neuro-variants/variant_position/credible/roussos_2024/variant_figures/roussos_2024.adolescence.Astrocyte/rs11688415_profile_position.png",4,220,900)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-0.2849069</v>
      </c>
      <c r="G2323" t="n">
        <v>0.009491617524833899</v>
      </c>
      <c r="H2323" t="n">
        <v>0.0312611412772921</v>
      </c>
      <c r="I2323" t="n">
        <v>0.0303333198900565</v>
      </c>
      <c r="J2323" t="n">
        <v>0.118640032044625</v>
      </c>
      <c r="K2323" t="n">
        <v>0.2994810378565909</v>
      </c>
      <c r="L2323" t="b">
        <v>1</v>
      </c>
      <c r="M2323" t="b">
        <v>1</v>
      </c>
      <c r="N2323" t="inlineStr">
        <is>
          <t>ref</t>
        </is>
      </c>
      <c r="O2323" t="n">
        <v>-100</v>
      </c>
      <c r="P2323" t="n">
        <v>0.006645</v>
      </c>
      <c r="Q2323" t="n">
        <v>-95</v>
      </c>
      <c r="R2323" t="n">
        <v>0.1001</v>
      </c>
      <c r="S2323">
        <f>IMAGE("https://mitra.stanford.edu/kundaje/oak/projects/neuro-variants/variant_position/credible/roussos_2024/variant_figures/roussos_2024.adolescence.Astrocyte/rs55826210_count_position.png",4,220,900)</f>
        <v/>
      </c>
      <c r="T2323">
        <f>IMAGE("https://mitra.stanford.edu/kundaje/oak/projects/neuro-variants/variant_position/credible/roussos_2024/variant_figures/roussos_2024.adolescence.Astrocyte/rs55826210_profile_position.png",4,220,900)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0.0043008474</v>
      </c>
      <c r="G2324" t="n">
        <v>0.6487845307273297</v>
      </c>
      <c r="H2324" t="n">
        <v>0.0238096538522727</v>
      </c>
      <c r="I2324" t="n">
        <v>0.0749843730873466</v>
      </c>
      <c r="J2324" t="n">
        <v>0.0206124083909443</v>
      </c>
      <c r="K2324" t="n">
        <v>0.5894513018426406</v>
      </c>
      <c r="L2324" t="b">
        <v>0</v>
      </c>
      <c r="M2324" t="b">
        <v>0</v>
      </c>
      <c r="N2324" t="inlineStr">
        <is>
          <t>alt</t>
        </is>
      </c>
      <c r="O2324" t="n">
        <v>100</v>
      </c>
      <c r="P2324" t="n">
        <v>0.004025</v>
      </c>
      <c r="Q2324" t="n">
        <v>100</v>
      </c>
      <c r="R2324" t="n">
        <v>0.0446</v>
      </c>
      <c r="S2324">
        <f>IMAGE("https://mitra.stanford.edu/kundaje/oak/projects/neuro-variants/variant_position/credible/roussos_2024/variant_figures/roussos_2024.adolescence.Astrocyte/rs1436162_count_position.png",4,220,900)</f>
        <v/>
      </c>
      <c r="T2324">
        <f>IMAGE("https://mitra.stanford.edu/kundaje/oak/projects/neuro-variants/variant_position/credible/roussos_2024/variant_figures/roussos_2024.adolescence.Astrocyte/rs1436162_profile_position.png",4,220,900)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-0.211594282</v>
      </c>
      <c r="G2325" t="n">
        <v>0.0167331084485045</v>
      </c>
      <c r="H2325" t="n">
        <v>0.0358192631694496</v>
      </c>
      <c r="I2325" t="n">
        <v>0.0243624972646623</v>
      </c>
      <c r="J2325" t="n">
        <v>0.2702682253805299</v>
      </c>
      <c r="K2325" t="n">
        <v>0.1519087890991266</v>
      </c>
      <c r="L2325" t="b">
        <v>1</v>
      </c>
      <c r="M2325" t="b">
        <v>0</v>
      </c>
      <c r="N2325" t="inlineStr">
        <is>
          <t>ref</t>
        </is>
      </c>
      <c r="O2325" t="n">
        <v>-85</v>
      </c>
      <c r="P2325" t="n">
        <v>0.008789999999999999</v>
      </c>
      <c r="Q2325" t="n">
        <v>-85</v>
      </c>
      <c r="R2325" t="n">
        <v>0.1001</v>
      </c>
      <c r="S2325">
        <f>IMAGE("https://mitra.stanford.edu/kundaje/oak/projects/neuro-variants/variant_position/credible/roussos_2024/variant_figures/roussos_2024.adolescence.Astrocyte/rs3769481_count_position.png",4,220,900)</f>
        <v/>
      </c>
      <c r="T2325">
        <f>IMAGE("https://mitra.stanford.edu/kundaje/oak/projects/neuro-variants/variant_position/credible/roussos_2024/variant_figures/roussos_2024.adolescence.Astrocyte/rs3769481_profile_position.png",4,220,900)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0.319330602</v>
      </c>
      <c r="G2326" t="n">
        <v>0.0054317900936339</v>
      </c>
      <c r="H2326" t="n">
        <v>0.0427888163955196</v>
      </c>
      <c r="I2326" t="n">
        <v>0.008011169628700699</v>
      </c>
      <c r="J2326" t="n">
        <v>0.3253412159154971</v>
      </c>
      <c r="K2326" t="n">
        <v>0.1206993374266101</v>
      </c>
      <c r="L2326" t="b">
        <v>1</v>
      </c>
      <c r="M2326" t="b">
        <v>1</v>
      </c>
      <c r="N2326" t="inlineStr">
        <is>
          <t>alt</t>
        </is>
      </c>
      <c r="O2326" t="n">
        <v>60</v>
      </c>
      <c r="P2326" t="n">
        <v>0.007782</v>
      </c>
      <c r="Q2326" t="n">
        <v>25</v>
      </c>
      <c r="R2326" t="n">
        <v>0.0674</v>
      </c>
      <c r="S2326">
        <f>IMAGE("https://mitra.stanford.edu/kundaje/oak/projects/neuro-variants/variant_position/credible/roussos_2024/variant_figures/roussos_2024.adolescence.Astrocyte/rs17592552_count_position.png",4,220,900)</f>
        <v/>
      </c>
      <c r="T2326">
        <f>IMAGE("https://mitra.stanford.edu/kundaje/oak/projects/neuro-variants/variant_position/credible/roussos_2024/variant_figures/roussos_2024.adolescence.Astrocyte/rs17592552_profile_position.png",4,220,900)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-0.032455329</v>
      </c>
      <c r="G2327" t="n">
        <v>0.3755078035522942</v>
      </c>
      <c r="H2327" t="n">
        <v>0.009330681903295999</v>
      </c>
      <c r="I2327" t="n">
        <v>0.8121193192569042</v>
      </c>
      <c r="J2327" t="n">
        <v>0.0344101415304275</v>
      </c>
      <c r="K2327" t="n">
        <v>0.4894839089766146</v>
      </c>
      <c r="L2327" t="b">
        <v>0</v>
      </c>
      <c r="M2327" t="b">
        <v>0</v>
      </c>
      <c r="N2327" t="inlineStr">
        <is>
          <t>ref</t>
        </is>
      </c>
      <c r="O2327" t="n">
        <v>45</v>
      </c>
      <c r="P2327" t="n">
        <v>0.004288</v>
      </c>
      <c r="Q2327" t="n">
        <v>-100</v>
      </c>
      <c r="R2327" t="n">
        <v>0.1105</v>
      </c>
      <c r="S2327">
        <f>IMAGE("https://mitra.stanford.edu/kundaje/oak/projects/neuro-variants/variant_position/credible/roussos_2024/variant_figures/roussos_2024.adolescence.Astrocyte/rs67067836_count_position.png",4,220,900)</f>
        <v/>
      </c>
      <c r="T2327">
        <f>IMAGE("https://mitra.stanford.edu/kundaje/oak/projects/neuro-variants/variant_position/credible/roussos_2024/variant_figures/roussos_2024.adolescence.Astrocyte/rs67067836_profile_position.png",4,220,900)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0.04280887</v>
      </c>
      <c r="G2328" t="n">
        <v>0.2856449737492581</v>
      </c>
      <c r="H2328" t="n">
        <v>0.0190019900662421</v>
      </c>
      <c r="I2328" t="n">
        <v>0.1629867806129238</v>
      </c>
      <c r="J2328" t="n">
        <v>0.0203105064831023</v>
      </c>
      <c r="K2328" t="n">
        <v>0.5778756222597478</v>
      </c>
      <c r="L2328" t="b">
        <v>0</v>
      </c>
      <c r="M2328" t="b">
        <v>0</v>
      </c>
      <c r="N2328" t="inlineStr">
        <is>
          <t>alt</t>
        </is>
      </c>
      <c r="O2328" t="n">
        <v>-55</v>
      </c>
      <c r="P2328" t="n">
        <v>0.00598</v>
      </c>
      <c r="Q2328" t="n">
        <v>85</v>
      </c>
      <c r="R2328" t="n">
        <v>0.1581</v>
      </c>
      <c r="S2328">
        <f>IMAGE("https://mitra.stanford.edu/kundaje/oak/projects/neuro-variants/variant_position/credible/roussos_2024/variant_figures/roussos_2024.adolescence.Astrocyte/rs3769474_count_position.png",4,220,900)</f>
        <v/>
      </c>
      <c r="T2328">
        <f>IMAGE("https://mitra.stanford.edu/kundaje/oak/projects/neuro-variants/variant_position/credible/roussos_2024/variant_figures/roussos_2024.adolescence.Astrocyte/rs3769474_profile_position.png",4,220,900)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-0.2214818079999999</v>
      </c>
      <c r="G2329" t="n">
        <v>0.019138898527392</v>
      </c>
      <c r="H2329" t="n">
        <v>0.0377511740439131</v>
      </c>
      <c r="I2329" t="n">
        <v>0.014466027311918</v>
      </c>
      <c r="J2329" t="n">
        <v>0.0799023825772186</v>
      </c>
      <c r="K2329" t="n">
        <v>0.3749479207030365</v>
      </c>
      <c r="L2329" t="b">
        <v>1</v>
      </c>
      <c r="M2329" t="b">
        <v>0</v>
      </c>
      <c r="N2329" t="inlineStr">
        <is>
          <t>ref</t>
        </is>
      </c>
      <c r="O2329" t="n">
        <v>-90</v>
      </c>
      <c r="P2329" t="n">
        <v>0.02176</v>
      </c>
      <c r="Q2329" t="n">
        <v>-90</v>
      </c>
      <c r="R2329" t="n">
        <v>0.2876</v>
      </c>
      <c r="S2329">
        <f>IMAGE("https://mitra.stanford.edu/kundaje/oak/projects/neuro-variants/variant_position/credible/roussos_2024/variant_figures/roussos_2024.adolescence.Astrocyte/rs295127_count_position.png",4,220,900)</f>
        <v/>
      </c>
      <c r="T2329">
        <f>IMAGE("https://mitra.stanford.edu/kundaje/oak/projects/neuro-variants/variant_position/credible/roussos_2024/variant_figures/roussos_2024.adolescence.Astrocyte/rs295127_profile_position.png",4,220,900)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-0.022992508</v>
      </c>
      <c r="G2330" t="n">
        <v>0.4087680345703155</v>
      </c>
      <c r="H2330" t="n">
        <v>0.0129644520604455</v>
      </c>
      <c r="I2330" t="n">
        <v>0.4676139749185216</v>
      </c>
      <c r="J2330" t="n">
        <v>0.1149474824199625</v>
      </c>
      <c r="K2330" t="n">
        <v>0.3080173215389279</v>
      </c>
      <c r="L2330" t="b">
        <v>0</v>
      </c>
      <c r="M2330" t="b">
        <v>0</v>
      </c>
      <c r="N2330" t="inlineStr">
        <is>
          <t>ref</t>
        </is>
      </c>
      <c r="O2330" t="n">
        <v>20</v>
      </c>
      <c r="P2330" t="n">
        <v>0.000868</v>
      </c>
      <c r="Q2330" t="n">
        <v>20</v>
      </c>
      <c r="R2330" t="n">
        <v>0.04883</v>
      </c>
      <c r="S2330">
        <f>IMAGE("https://mitra.stanford.edu/kundaje/oak/projects/neuro-variants/variant_position/credible/roussos_2024/variant_figures/roussos_2024.adolescence.Astrocyte/rs78412932_count_position.png",4,220,900)</f>
        <v/>
      </c>
      <c r="T2330">
        <f>IMAGE("https://mitra.stanford.edu/kundaje/oak/projects/neuro-variants/variant_position/credible/roussos_2024/variant_figures/roussos_2024.adolescence.Astrocyte/rs78412932_profile_position.png",4,220,900)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-0.0174508993</v>
      </c>
      <c r="G2331" t="n">
        <v>0.5942240041778462</v>
      </c>
      <c r="H2331" t="n">
        <v>0.0161243456890295</v>
      </c>
      <c r="I2331" t="n">
        <v>0.2650620497946509</v>
      </c>
      <c r="J2331" t="n">
        <v>0.0103002700056374</v>
      </c>
      <c r="K2331" t="n">
        <v>0.6545746405766645</v>
      </c>
      <c r="L2331" t="b">
        <v>0</v>
      </c>
      <c r="M2331" t="b">
        <v>0</v>
      </c>
      <c r="N2331" t="inlineStr">
        <is>
          <t>ref</t>
        </is>
      </c>
      <c r="O2331" t="n">
        <v>-55</v>
      </c>
      <c r="P2331" t="n">
        <v>0.001282</v>
      </c>
      <c r="Q2331" t="n">
        <v>85</v>
      </c>
      <c r="R2331" t="n">
        <v>0.2073</v>
      </c>
      <c r="S2331">
        <f>IMAGE("https://mitra.stanford.edu/kundaje/oak/projects/neuro-variants/variant_position/credible/roussos_2024/variant_figures/roussos_2024.adolescence.Astrocyte/rs295130_count_position.png",4,220,900)</f>
        <v/>
      </c>
      <c r="T2331">
        <f>IMAGE("https://mitra.stanford.edu/kundaje/oak/projects/neuro-variants/variant_position/credible/roussos_2024/variant_figures/roussos_2024.adolescence.Astrocyte/rs295130_profile_position.png",4,220,900)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0.01689437956</v>
      </c>
      <c r="G2332" t="n">
        <v>0.4517109806674164</v>
      </c>
      <c r="H2332" t="n">
        <v>0.0255854596679299</v>
      </c>
      <c r="I2332" t="n">
        <v>0.0577714712754596</v>
      </c>
      <c r="J2332" t="n">
        <v>0.06346393496127931</v>
      </c>
      <c r="K2332" t="n">
        <v>0.4147464065819206</v>
      </c>
      <c r="L2332" t="b">
        <v>0</v>
      </c>
      <c r="M2332" t="b">
        <v>0</v>
      </c>
      <c r="N2332" t="inlineStr">
        <is>
          <t>alt</t>
        </is>
      </c>
      <c r="O2332" t="n">
        <v>55</v>
      </c>
      <c r="P2332" t="n">
        <v>0.002792</v>
      </c>
      <c r="Q2332" t="n">
        <v>20</v>
      </c>
      <c r="R2332" t="n">
        <v>0.04834</v>
      </c>
      <c r="S2332">
        <f>IMAGE("https://mitra.stanford.edu/kundaje/oak/projects/neuro-variants/variant_position/credible/roussos_2024/variant_figures/roussos_2024.adolescence.Astrocyte/rs296789_count_position.png",4,220,900)</f>
        <v/>
      </c>
      <c r="T2332">
        <f>IMAGE("https://mitra.stanford.edu/kundaje/oak/projects/neuro-variants/variant_position/credible/roussos_2024/variant_figures/roussos_2024.adolescence.Astrocyte/rs296789_profile_position.png",4,220,900)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-0.0119565237399999</v>
      </c>
      <c r="G2333" t="n">
        <v>0.691262517627937</v>
      </c>
      <c r="H2333" t="n">
        <v>0.0241522547763724</v>
      </c>
      <c r="I2333" t="n">
        <v>0.0726991003723254</v>
      </c>
      <c r="J2333" t="n">
        <v>0.0022104857134379</v>
      </c>
      <c r="K2333" t="n">
        <v>0.8255990181170755</v>
      </c>
      <c r="L2333" t="b">
        <v>0</v>
      </c>
      <c r="M2333" t="b">
        <v>0</v>
      </c>
      <c r="N2333" t="inlineStr">
        <is>
          <t>ref</t>
        </is>
      </c>
      <c r="O2333" t="n">
        <v>-100</v>
      </c>
      <c r="P2333" t="n">
        <v>0.006172</v>
      </c>
      <c r="Q2333" t="n">
        <v>85</v>
      </c>
      <c r="R2333" t="n">
        <v>0.10187</v>
      </c>
      <c r="S2333">
        <f>IMAGE("https://mitra.stanford.edu/kundaje/oak/projects/neuro-variants/variant_position/credible/roussos_2024/variant_figures/roussos_2024.adolescence.Astrocyte/rs3769459_count_position.png",4,220,900)</f>
        <v/>
      </c>
      <c r="T2333">
        <f>IMAGE("https://mitra.stanford.edu/kundaje/oak/projects/neuro-variants/variant_position/credible/roussos_2024/variant_figures/roussos_2024.adolescence.Astrocyte/rs3769459_profile_position.png",4,220,900)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-0.0063824241</v>
      </c>
      <c r="G2334" t="n">
        <v>0.7658767188886489</v>
      </c>
      <c r="H2334" t="n">
        <v>0.0271620226471871</v>
      </c>
      <c r="I2334" t="n">
        <v>0.0464262578689778</v>
      </c>
      <c r="J2334" t="n">
        <v>0.0001832181111473</v>
      </c>
      <c r="K2334" t="n">
        <v>0.9617662633660536</v>
      </c>
      <c r="L2334" t="b">
        <v>0</v>
      </c>
      <c r="M2334" t="b">
        <v>0</v>
      </c>
      <c r="N2334" t="inlineStr">
        <is>
          <t>ref</t>
        </is>
      </c>
      <c r="O2334" t="n">
        <v>-40</v>
      </c>
      <c r="P2334" t="n">
        <v>0.01039</v>
      </c>
      <c r="Q2334" t="n">
        <v>75</v>
      </c>
      <c r="R2334" t="n">
        <v>0.0232</v>
      </c>
      <c r="S2334">
        <f>IMAGE("https://mitra.stanford.edu/kundaje/oak/projects/neuro-variants/variant_position/credible/roussos_2024/variant_figures/roussos_2024.adolescence.Astrocyte/rs3791705_count_position.png",4,220,900)</f>
        <v/>
      </c>
      <c r="T2334">
        <f>IMAGE("https://mitra.stanford.edu/kundaje/oak/projects/neuro-variants/variant_position/credible/roussos_2024/variant_figures/roussos_2024.adolescence.Astrocyte/rs3791705_profile_position.png",4,220,900)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0.01352661518</v>
      </c>
      <c r="G2335" t="n">
        <v>0.6148334684368923</v>
      </c>
      <c r="H2335" t="n">
        <v>0.0249099155072539</v>
      </c>
      <c r="I2335" t="n">
        <v>0.0636555182415476</v>
      </c>
      <c r="J2335" t="n">
        <v>0.0114181230157552</v>
      </c>
      <c r="K2335" t="n">
        <v>0.6433373294309066</v>
      </c>
      <c r="L2335" t="b">
        <v>0</v>
      </c>
      <c r="M2335" t="b">
        <v>0</v>
      </c>
      <c r="N2335" t="inlineStr">
        <is>
          <t>alt</t>
        </is>
      </c>
      <c r="O2335" t="n">
        <v>0</v>
      </c>
      <c r="P2335" t="n">
        <v>0</v>
      </c>
      <c r="Q2335" t="n">
        <v>35</v>
      </c>
      <c r="R2335" t="n">
        <v>0.0725</v>
      </c>
      <c r="S2335">
        <f>IMAGE("https://mitra.stanford.edu/kundaje/oak/projects/neuro-variants/variant_position/credible/roussos_2024/variant_figures/roussos_2024.adolescence.Astrocyte/rs6738323_count_position.png",4,220,900)</f>
        <v/>
      </c>
      <c r="T2335">
        <f>IMAGE("https://mitra.stanford.edu/kundaje/oak/projects/neuro-variants/variant_position/credible/roussos_2024/variant_figures/roussos_2024.adolescence.Astrocyte/rs6738323_profile_position.png",4,220,900)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-0.15512548</v>
      </c>
      <c r="G2336" t="n">
        <v>0.0361547424587366</v>
      </c>
      <c r="H2336" t="n">
        <v>0.0337396624551397</v>
      </c>
      <c r="I2336" t="n">
        <v>0.0226860592308554</v>
      </c>
      <c r="J2336" t="n">
        <v>0.8687260777972288</v>
      </c>
      <c r="K2336" t="n">
        <v>0.0033315535186047</v>
      </c>
      <c r="L2336" t="b">
        <v>0</v>
      </c>
      <c r="M2336" t="b">
        <v>0</v>
      </c>
      <c r="N2336" t="inlineStr">
        <is>
          <t>ref</t>
        </is>
      </c>
      <c r="O2336" t="n">
        <v>-95</v>
      </c>
      <c r="P2336" t="n">
        <v>0.09379999999999999</v>
      </c>
      <c r="Q2336" t="n">
        <v>-95</v>
      </c>
      <c r="R2336" t="n">
        <v>0.3147</v>
      </c>
      <c r="S2336">
        <f>IMAGE("https://mitra.stanford.edu/kundaje/oak/projects/neuro-variants/variant_position/credible/roussos_2024/variant_figures/roussos_2024.adolescence.Astrocyte/rs1384292_count_position.png",4,220,900)</f>
        <v/>
      </c>
      <c r="T2336">
        <f>IMAGE("https://mitra.stanford.edu/kundaje/oak/projects/neuro-variants/variant_position/credible/roussos_2024/variant_figures/roussos_2024.adolescence.Astrocyte/rs1384292_profile_position.png",4,220,900)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-0.0613157156</v>
      </c>
      <c r="G2337" t="n">
        <v>0.1227012459375363</v>
      </c>
      <c r="H2337" t="n">
        <v>0.0177718977607146</v>
      </c>
      <c r="I2337" t="n">
        <v>0.2004152272222765</v>
      </c>
      <c r="J2337" t="n">
        <v>0.9092714298430408</v>
      </c>
      <c r="K2337" t="n">
        <v>0.0012114653589098</v>
      </c>
      <c r="L2337" t="b">
        <v>0</v>
      </c>
      <c r="M2337" t="b">
        <v>0</v>
      </c>
      <c r="N2337" t="inlineStr">
        <is>
          <t>ref</t>
        </is>
      </c>
      <c r="O2337" t="n">
        <v>-5</v>
      </c>
      <c r="P2337" t="n">
        <v>0.001709</v>
      </c>
      <c r="Q2337" t="n">
        <v>-40</v>
      </c>
      <c r="R2337" t="n">
        <v>0.1484</v>
      </c>
      <c r="S2337">
        <f>IMAGE("https://mitra.stanford.edu/kundaje/oak/projects/neuro-variants/variant_position/credible/roussos_2024/variant_figures/roussos_2024.adolescence.Astrocyte/rs6735626_count_position.png",4,220,900)</f>
        <v/>
      </c>
      <c r="T2337">
        <f>IMAGE("https://mitra.stanford.edu/kundaje/oak/projects/neuro-variants/variant_position/credible/roussos_2024/variant_figures/roussos_2024.adolescence.Astrocyte/rs6735626_profile_position.png",4,220,900)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0.08324916860000001</v>
      </c>
      <c r="G2338" t="n">
        <v>0.1064876843891671</v>
      </c>
      <c r="H2338" t="n">
        <v>0.0127241499374778</v>
      </c>
      <c r="I2338" t="n">
        <v>0.4755073725080656</v>
      </c>
      <c r="J2338" t="n">
        <v>0.3408250007417737</v>
      </c>
      <c r="K2338" t="n">
        <v>0.1135142954399929</v>
      </c>
      <c r="L2338" t="b">
        <v>0</v>
      </c>
      <c r="M2338" t="b">
        <v>0</v>
      </c>
      <c r="N2338" t="inlineStr">
        <is>
          <t>alt</t>
        </is>
      </c>
      <c r="O2338" t="n">
        <v>-100</v>
      </c>
      <c r="P2338" t="n">
        <v>0.02617</v>
      </c>
      <c r="Q2338" t="n">
        <v>-65</v>
      </c>
      <c r="R2338" t="n">
        <v>0.03467</v>
      </c>
      <c r="S2338">
        <f>IMAGE("https://mitra.stanford.edu/kundaje/oak/projects/neuro-variants/variant_position/credible/roussos_2024/variant_figures/roussos_2024.adolescence.Astrocyte/rs10182996_count_position.png",4,220,900)</f>
        <v/>
      </c>
      <c r="T2338">
        <f>IMAGE("https://mitra.stanford.edu/kundaje/oak/projects/neuro-variants/variant_position/credible/roussos_2024/variant_figures/roussos_2024.adolescence.Astrocyte/rs10182996_profile_position.png",4,220,900)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-0.014502298978</v>
      </c>
      <c r="G2339" t="n">
        <v>0.6715269126688832</v>
      </c>
      <c r="H2339" t="n">
        <v>0.0100046111755187</v>
      </c>
      <c r="I2339" t="n">
        <v>0.734531824141728</v>
      </c>
      <c r="J2339" t="n">
        <v>0.0498152983413939</v>
      </c>
      <c r="K2339" t="n">
        <v>0.4363959474858045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0.01729</v>
      </c>
      <c r="Q2339" t="n">
        <v>5</v>
      </c>
      <c r="R2339" t="n">
        <v>0.014404</v>
      </c>
      <c r="S2339">
        <f>IMAGE("https://mitra.stanford.edu/kundaje/oak/projects/neuro-variants/variant_position/credible/roussos_2024/variant_figures/roussos_2024.adolescence.Astrocyte/rs10207878_count_position.png",4,220,900)</f>
        <v/>
      </c>
      <c r="T2339">
        <f>IMAGE("https://mitra.stanford.edu/kundaje/oak/projects/neuro-variants/variant_position/credible/roussos_2024/variant_figures/roussos_2024.adolescence.Astrocyte/rs10207878_profile_position.png",4,220,900)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-0.08275452599999999</v>
      </c>
      <c r="G2340" t="n">
        <v>0.1194588580962304</v>
      </c>
      <c r="H2340" t="n">
        <v>0.024129181507186</v>
      </c>
      <c r="I2340" t="n">
        <v>0.0758855752998473</v>
      </c>
      <c r="J2340" t="n">
        <v>0.1517869329139838</v>
      </c>
      <c r="K2340" t="n">
        <v>0.255119428281563</v>
      </c>
      <c r="L2340" t="b">
        <v>0</v>
      </c>
      <c r="M2340" t="b">
        <v>0</v>
      </c>
      <c r="N2340" t="inlineStr">
        <is>
          <t>ref</t>
        </is>
      </c>
      <c r="O2340" t="n">
        <v>60</v>
      </c>
      <c r="P2340" t="n">
        <v>0.003967</v>
      </c>
      <c r="Q2340" t="n">
        <v>55</v>
      </c>
      <c r="R2340" t="n">
        <v>0.1456</v>
      </c>
      <c r="S2340">
        <f>IMAGE("https://mitra.stanford.edu/kundaje/oak/projects/neuro-variants/variant_position/credible/roussos_2024/variant_figures/roussos_2024.adolescence.Astrocyte/rs1523921_count_position.png",4,220,900)</f>
        <v/>
      </c>
      <c r="T2340">
        <f>IMAGE("https://mitra.stanford.edu/kundaje/oak/projects/neuro-variants/variant_position/credible/roussos_2024/variant_figures/roussos_2024.adolescence.Astrocyte/rs1523921_profile_position.png",4,220,900)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0.01304743752</v>
      </c>
      <c r="G2341" t="n">
        <v>0.6884174374633941</v>
      </c>
      <c r="H2341" t="n">
        <v>0.0203555158019595</v>
      </c>
      <c r="I2341" t="n">
        <v>0.1316861690895328</v>
      </c>
      <c r="J2341" t="n">
        <v>0.0237731062516689</v>
      </c>
      <c r="K2341" t="n">
        <v>0.5467062457121257</v>
      </c>
      <c r="L2341" t="b">
        <v>0</v>
      </c>
      <c r="M2341" t="b">
        <v>0</v>
      </c>
      <c r="N2341" t="inlineStr">
        <is>
          <t>alt</t>
        </is>
      </c>
      <c r="O2341" t="n">
        <v>25</v>
      </c>
      <c r="P2341" t="n">
        <v>0.006454</v>
      </c>
      <c r="Q2341" t="n">
        <v>80</v>
      </c>
      <c r="R2341" t="n">
        <v>0.0533</v>
      </c>
      <c r="S2341">
        <f>IMAGE("https://mitra.stanford.edu/kundaje/oak/projects/neuro-variants/variant_position/credible/roussos_2024/variant_figures/roussos_2024.adolescence.Astrocyte/rs12470077_count_position.png",4,220,900)</f>
        <v/>
      </c>
      <c r="T2341">
        <f>IMAGE("https://mitra.stanford.edu/kundaje/oak/projects/neuro-variants/variant_position/credible/roussos_2024/variant_figures/roussos_2024.adolescence.Astrocyte/rs12470077_profile_position.png",4,220,900)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-0.0012538287</v>
      </c>
      <c r="G2342" t="n">
        <v>0.4395543577197078</v>
      </c>
      <c r="H2342" t="n">
        <v>0.0122049144684569</v>
      </c>
      <c r="I2342" t="n">
        <v>0.5287409168009281</v>
      </c>
      <c r="J2342" t="n">
        <v>0.008092751387116799</v>
      </c>
      <c r="K2342" t="n">
        <v>0.6839924659055291</v>
      </c>
      <c r="L2342" t="b">
        <v>0</v>
      </c>
      <c r="M2342" t="b">
        <v>0</v>
      </c>
      <c r="N2342" t="inlineStr">
        <is>
          <t>ref</t>
        </is>
      </c>
      <c r="O2342" t="n">
        <v>-55</v>
      </c>
      <c r="P2342" t="n">
        <v>0.00145</v>
      </c>
      <c r="Q2342" t="n">
        <v>-90</v>
      </c>
      <c r="R2342" t="n">
        <v>0.112</v>
      </c>
      <c r="S2342">
        <f>IMAGE("https://mitra.stanford.edu/kundaje/oak/projects/neuro-variants/variant_position/credible/roussos_2024/variant_figures/roussos_2024.adolescence.Astrocyte/rs147137183_count_position.png",4,220,900)</f>
        <v/>
      </c>
      <c r="T2342">
        <f>IMAGE("https://mitra.stanford.edu/kundaje/oak/projects/neuro-variants/variant_position/credible/roussos_2024/variant_figures/roussos_2024.adolescence.Astrocyte/rs147137183_profile_position.png",4,220,900)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-0.0254317146</v>
      </c>
      <c r="G2343" t="n">
        <v>0.4386453652257346</v>
      </c>
      <c r="H2343" t="n">
        <v>0.0326604182875939</v>
      </c>
      <c r="I2343" t="n">
        <v>0.0228645072805377</v>
      </c>
      <c r="J2343" t="n">
        <v>0.0034218022134527</v>
      </c>
      <c r="K2343" t="n">
        <v>0.7722287012966916</v>
      </c>
      <c r="L2343" t="b">
        <v>0</v>
      </c>
      <c r="M2343" t="b">
        <v>0</v>
      </c>
      <c r="N2343" t="inlineStr">
        <is>
          <t>ref</t>
        </is>
      </c>
      <c r="O2343" t="n">
        <v>-60</v>
      </c>
      <c r="P2343" t="n">
        <v>0.01974</v>
      </c>
      <c r="Q2343" t="n">
        <v>-100</v>
      </c>
      <c r="R2343" t="n">
        <v>0.11536</v>
      </c>
      <c r="S2343">
        <f>IMAGE("https://mitra.stanford.edu/kundaje/oak/projects/neuro-variants/variant_position/credible/roussos_2024/variant_figures/roussos_2024.adolescence.Astrocyte/rs72974238_count_position.png",4,220,900)</f>
        <v/>
      </c>
      <c r="T2343">
        <f>IMAGE("https://mitra.stanford.edu/kundaje/oak/projects/neuro-variants/variant_position/credible/roussos_2024/variant_figures/roussos_2024.adolescence.Astrocyte/rs72974238_profile_position.png",4,220,900)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-0.0153118424599999</v>
      </c>
      <c r="G2344" t="n">
        <v>0.6441147480619863</v>
      </c>
      <c r="H2344" t="n">
        <v>0.0402085930130177</v>
      </c>
      <c r="I2344" t="n">
        <v>0.009390327473258599</v>
      </c>
      <c r="J2344" t="n">
        <v>0.0271244399608343</v>
      </c>
      <c r="K2344" t="n">
        <v>0.5390302024546423</v>
      </c>
      <c r="L2344" t="b">
        <v>1</v>
      </c>
      <c r="M2344" t="b">
        <v>0</v>
      </c>
      <c r="N2344" t="inlineStr">
        <is>
          <t>ref</t>
        </is>
      </c>
      <c r="O2344" t="n">
        <v>35</v>
      </c>
      <c r="P2344" t="n">
        <v>0.05804</v>
      </c>
      <c r="Q2344" t="n">
        <v>100</v>
      </c>
      <c r="R2344" t="n">
        <v>0.0759</v>
      </c>
      <c r="S2344">
        <f>IMAGE("https://mitra.stanford.edu/kundaje/oak/projects/neuro-variants/variant_position/credible/roussos_2024/variant_figures/roussos_2024.adolescence.Astrocyte/rs80236857_count_position.png",4,220,900)</f>
        <v/>
      </c>
      <c r="T2344">
        <f>IMAGE("https://mitra.stanford.edu/kundaje/oak/projects/neuro-variants/variant_position/credible/roussos_2024/variant_figures/roussos_2024.adolescence.Astrocyte/rs80236857_profile_position.png",4,220,900)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-0.0500469514</v>
      </c>
      <c r="G2345" t="n">
        <v>0.2441577158784524</v>
      </c>
      <c r="H2345" t="n">
        <v>0.0122677988115556</v>
      </c>
      <c r="I2345" t="n">
        <v>0.5326845609155734</v>
      </c>
      <c r="J2345" t="n">
        <v>0.4250993976797317</v>
      </c>
      <c r="K2345" t="n">
        <v>0.0788086242416822</v>
      </c>
      <c r="L2345" t="b">
        <v>0</v>
      </c>
      <c r="M2345" t="b">
        <v>0</v>
      </c>
      <c r="N2345" t="inlineStr">
        <is>
          <t>ref</t>
        </is>
      </c>
      <c r="O2345" t="n">
        <v>-45</v>
      </c>
      <c r="P2345" t="n">
        <v>0.0701</v>
      </c>
      <c r="Q2345" t="n">
        <v>-50</v>
      </c>
      <c r="R2345" t="n">
        <v>0.612</v>
      </c>
      <c r="S2345">
        <f>IMAGE("https://mitra.stanford.edu/kundaje/oak/projects/neuro-variants/variant_position/credible/roussos_2024/variant_figures/roussos_2024.adolescence.Astrocyte/rs73090183_count_position.png",4,220,900)</f>
        <v/>
      </c>
      <c r="T2345">
        <f>IMAGE("https://mitra.stanford.edu/kundaje/oak/projects/neuro-variants/variant_position/credible/roussos_2024/variant_figures/roussos_2024.adolescence.Astrocyte/rs73090183_profile_position.png",4,220,900)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-0.0238739868</v>
      </c>
      <c r="G2346" t="n">
        <v>0.4861049885800794</v>
      </c>
      <c r="H2346" t="n">
        <v>0.0414060677695507</v>
      </c>
      <c r="I2346" t="n">
        <v>0.008336125425313499</v>
      </c>
      <c r="J2346" t="n">
        <v>0.008280420140640199</v>
      </c>
      <c r="K2346" t="n">
        <v>0.6865068369674638</v>
      </c>
      <c r="L2346" t="b">
        <v>0</v>
      </c>
      <c r="M2346" t="b">
        <v>0</v>
      </c>
      <c r="N2346" t="inlineStr">
        <is>
          <t>ref</t>
        </is>
      </c>
      <c r="O2346" t="n">
        <v>30</v>
      </c>
      <c r="P2346" t="n">
        <v>0.00873</v>
      </c>
      <c r="Q2346" t="n">
        <v>-100</v>
      </c>
      <c r="R2346" t="n">
        <v>0.07837</v>
      </c>
      <c r="S2346">
        <f>IMAGE("https://mitra.stanford.edu/kundaje/oak/projects/neuro-variants/variant_position/credible/roussos_2024/variant_figures/roussos_2024.adolescence.Astrocyte/rs34376789_count_position.png",4,220,900)</f>
        <v/>
      </c>
      <c r="T2346">
        <f>IMAGE("https://mitra.stanford.edu/kundaje/oak/projects/neuro-variants/variant_position/credible/roussos_2024/variant_figures/roussos_2024.adolescence.Astrocyte/rs34376789_profile_position.png",4,220,900)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-0.0276260439679999</v>
      </c>
      <c r="G2347" t="n">
        <v>0.4231656916155639</v>
      </c>
      <c r="H2347" t="n">
        <v>0.012468127578961</v>
      </c>
      <c r="I2347" t="n">
        <v>0.5116757194060315</v>
      </c>
      <c r="J2347" t="n">
        <v>0.0289670059045188</v>
      </c>
      <c r="K2347" t="n">
        <v>0.5422661634449545</v>
      </c>
      <c r="L2347" t="b">
        <v>0</v>
      </c>
      <c r="M2347" t="b">
        <v>0</v>
      </c>
      <c r="N2347" t="inlineStr">
        <is>
          <t>ref</t>
        </is>
      </c>
      <c r="O2347" t="n">
        <v>100</v>
      </c>
      <c r="P2347" t="n">
        <v>0.01938</v>
      </c>
      <c r="Q2347" t="n">
        <v>-100</v>
      </c>
      <c r="R2347" t="n">
        <v>0.3013</v>
      </c>
      <c r="S2347">
        <f>IMAGE("https://mitra.stanford.edu/kundaje/oak/projects/neuro-variants/variant_position/credible/roussos_2024/variant_figures/roussos_2024.adolescence.Astrocyte/rs11884034_count_position.png",4,220,900)</f>
        <v/>
      </c>
      <c r="T2347">
        <f>IMAGE("https://mitra.stanford.edu/kundaje/oak/projects/neuro-variants/variant_position/credible/roussos_2024/variant_figures/roussos_2024.adolescence.Astrocyte/rs11884034_profile_position.png",4,220,900)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-0.0930599262</v>
      </c>
      <c r="G2348" t="n">
        <v>0.0976887749136825</v>
      </c>
      <c r="H2348" t="n">
        <v>0.014833032273247</v>
      </c>
      <c r="I2348" t="n">
        <v>0.341913798410554</v>
      </c>
      <c r="J2348" t="n">
        <v>0.0129417262558228</v>
      </c>
      <c r="K2348" t="n">
        <v>0.653660102536603</v>
      </c>
      <c r="L2348" t="b">
        <v>0</v>
      </c>
      <c r="M2348" t="b">
        <v>0</v>
      </c>
      <c r="N2348" t="inlineStr">
        <is>
          <t>ref</t>
        </is>
      </c>
      <c r="O2348" t="n">
        <v>-35</v>
      </c>
      <c r="P2348" t="n">
        <v>0.004257</v>
      </c>
      <c r="Q2348" t="n">
        <v>-45</v>
      </c>
      <c r="R2348" t="n">
        <v>0.09485</v>
      </c>
      <c r="S2348">
        <f>IMAGE("https://mitra.stanford.edu/kundaje/oak/projects/neuro-variants/variant_position/credible/roussos_2024/variant_figures/roussos_2024.adolescence.Astrocyte/rs55828602_count_position.png",4,220,900)</f>
        <v/>
      </c>
      <c r="T2348">
        <f>IMAGE("https://mitra.stanford.edu/kundaje/oak/projects/neuro-variants/variant_position/credible/roussos_2024/variant_figures/roussos_2024.adolescence.Astrocyte/rs55828602_profile_position.png",4,220,900)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0.0162119437</v>
      </c>
      <c r="G2349" t="n">
        <v>0.4671927652227515</v>
      </c>
      <c r="H2349" t="n">
        <v>0.0217127741158808</v>
      </c>
      <c r="I2349" t="n">
        <v>0.1036181276871038</v>
      </c>
      <c r="J2349" t="n">
        <v>0.0748531288015902</v>
      </c>
      <c r="K2349" t="n">
        <v>0.3820582733906372</v>
      </c>
      <c r="L2349" t="b">
        <v>0</v>
      </c>
      <c r="M2349" t="b">
        <v>0</v>
      </c>
      <c r="N2349" t="inlineStr">
        <is>
          <t>alt</t>
        </is>
      </c>
      <c r="O2349" t="n">
        <v>-100</v>
      </c>
      <c r="P2349" t="n">
        <v>0.01012</v>
      </c>
      <c r="Q2349" t="n">
        <v>45</v>
      </c>
      <c r="R2349" t="n">
        <v>0.10046</v>
      </c>
      <c r="S2349">
        <f>IMAGE("https://mitra.stanford.edu/kundaje/oak/projects/neuro-variants/variant_position/credible/roussos_2024/variant_figures/roussos_2024.adolescence.Astrocyte/rs56161331_count_position.png",4,220,900)</f>
        <v/>
      </c>
      <c r="T2349">
        <f>IMAGE("https://mitra.stanford.edu/kundaje/oak/projects/neuro-variants/variant_position/credible/roussos_2024/variant_figures/roussos_2024.adolescence.Astrocyte/rs56161331_profile_position.png",4,220,900)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-0.0500737969999999</v>
      </c>
      <c r="G2350" t="n">
        <v>0.2449159799126018</v>
      </c>
      <c r="H2350" t="n">
        <v>0.0155262934419787</v>
      </c>
      <c r="I2350" t="n">
        <v>0.3000136999189762</v>
      </c>
      <c r="J2350" t="n">
        <v>0.0013337091653561</v>
      </c>
      <c r="K2350" t="n">
        <v>0.8536552371024483</v>
      </c>
      <c r="L2350" t="b">
        <v>0</v>
      </c>
      <c r="M2350" t="b">
        <v>0</v>
      </c>
      <c r="N2350" t="inlineStr">
        <is>
          <t>ref</t>
        </is>
      </c>
      <c r="O2350" t="n">
        <v>90</v>
      </c>
      <c r="P2350" t="n">
        <v>0.01141</v>
      </c>
      <c r="Q2350" t="n">
        <v>90</v>
      </c>
      <c r="R2350" t="n">
        <v>0.06365999999999999</v>
      </c>
      <c r="S2350">
        <f>IMAGE("https://mitra.stanford.edu/kundaje/oak/projects/neuro-variants/variant_position/credible/roussos_2024/variant_figures/roussos_2024.adolescence.Astrocyte/rs12620112_count_position.png",4,220,900)</f>
        <v/>
      </c>
      <c r="T2350">
        <f>IMAGE("https://mitra.stanford.edu/kundaje/oak/projects/neuro-variants/variant_position/credible/roussos_2024/variant_figures/roussos_2024.adolescence.Astrocyte/rs12620112_profile_position.png",4,220,900)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0.0394770948599999</v>
      </c>
      <c r="G2351" t="n">
        <v>0.2768896622452404</v>
      </c>
      <c r="H2351" t="n">
        <v>0.0116273113178713</v>
      </c>
      <c r="I2351" t="n">
        <v>0.5924154034327008</v>
      </c>
      <c r="J2351" t="n">
        <v>0.0016356110731982</v>
      </c>
      <c r="K2351" t="n">
        <v>0.8388782067350604</v>
      </c>
      <c r="L2351" t="b">
        <v>0</v>
      </c>
      <c r="M2351" t="b">
        <v>0</v>
      </c>
      <c r="N2351" t="inlineStr">
        <is>
          <t>alt</t>
        </is>
      </c>
      <c r="O2351" t="n">
        <v>35</v>
      </c>
      <c r="P2351" t="n">
        <v>0.01283</v>
      </c>
      <c r="Q2351" t="n">
        <v>90</v>
      </c>
      <c r="R2351" t="n">
        <v>0.08594</v>
      </c>
      <c r="S2351">
        <f>IMAGE("https://mitra.stanford.edu/kundaje/oak/projects/neuro-variants/variant_position/credible/roussos_2024/variant_figures/roussos_2024.adolescence.Astrocyte/rs12613751_count_position.png",4,220,900)</f>
        <v/>
      </c>
      <c r="T2351">
        <f>IMAGE("https://mitra.stanford.edu/kundaje/oak/projects/neuro-variants/variant_position/credible/roussos_2024/variant_figures/roussos_2024.adolescence.Astrocyte/rs12613751_profile_position.png",4,220,900)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0.0057687903999999</v>
      </c>
      <c r="G2352" t="n">
        <v>0.666615795882517</v>
      </c>
      <c r="H2352" t="n">
        <v>0.0129710750636453</v>
      </c>
      <c r="I2352" t="n">
        <v>0.460853712653153</v>
      </c>
      <c r="J2352" t="n">
        <v>0.0149111355072248</v>
      </c>
      <c r="K2352" t="n">
        <v>0.6192946081856945</v>
      </c>
      <c r="L2352" t="b">
        <v>0</v>
      </c>
      <c r="M2352" t="b">
        <v>0</v>
      </c>
      <c r="N2352" t="inlineStr">
        <is>
          <t>alt</t>
        </is>
      </c>
      <c r="O2352" t="n">
        <v>-100</v>
      </c>
      <c r="P2352" t="n">
        <v>0.004753</v>
      </c>
      <c r="Q2352" t="n">
        <v>100</v>
      </c>
      <c r="R2352" t="n">
        <v>0.067</v>
      </c>
      <c r="S2352">
        <f>IMAGE("https://mitra.stanford.edu/kundaje/oak/projects/neuro-variants/variant_position/credible/roussos_2024/variant_figures/roussos_2024.adolescence.Astrocyte/rs10933235_count_position.png",4,220,900)</f>
        <v/>
      </c>
      <c r="T2352">
        <f>IMAGE("https://mitra.stanford.edu/kundaje/oak/projects/neuro-variants/variant_position/credible/roussos_2024/variant_figures/roussos_2024.adolescence.Astrocyte/rs10933235_profile_position.png",4,220,900)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0.0879940868</v>
      </c>
      <c r="G2353" t="n">
        <v>0.1083477877719397</v>
      </c>
      <c r="H2353" t="n">
        <v>0.0173552479160606</v>
      </c>
      <c r="I2353" t="n">
        <v>0.2175344140661782</v>
      </c>
      <c r="J2353" t="n">
        <v>0.0010266148414087</v>
      </c>
      <c r="K2353" t="n">
        <v>0.8721909302566406</v>
      </c>
      <c r="L2353" t="b">
        <v>0</v>
      </c>
      <c r="M2353" t="b">
        <v>0</v>
      </c>
      <c r="N2353" t="inlineStr">
        <is>
          <t>alt</t>
        </is>
      </c>
      <c r="O2353" t="n">
        <v>60</v>
      </c>
      <c r="P2353" t="n">
        <v>0.0417</v>
      </c>
      <c r="Q2353" t="n">
        <v>60</v>
      </c>
      <c r="R2353" t="n">
        <v>0.0447</v>
      </c>
      <c r="S2353">
        <f>IMAGE("https://mitra.stanford.edu/kundaje/oak/projects/neuro-variants/variant_position/credible/roussos_2024/variant_figures/roussos_2024.adolescence.Astrocyte/rs10175063_count_position.png",4,220,900)</f>
        <v/>
      </c>
      <c r="T2353">
        <f>IMAGE("https://mitra.stanford.edu/kundaje/oak/projects/neuro-variants/variant_position/credible/roussos_2024/variant_figures/roussos_2024.adolescence.Astrocyte/rs10175063_profile_position.png",4,220,900)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0.086011858</v>
      </c>
      <c r="G2354" t="n">
        <v>0.1004602809052686</v>
      </c>
      <c r="H2354" t="n">
        <v>0.0185518563185656</v>
      </c>
      <c r="I2354" t="n">
        <v>0.1758902471088446</v>
      </c>
      <c r="J2354" t="n">
        <v>0.1506638874877607</v>
      </c>
      <c r="K2354" t="n">
        <v>0.2514081783463975</v>
      </c>
      <c r="L2354" t="b">
        <v>0</v>
      </c>
      <c r="M2354" t="b">
        <v>0</v>
      </c>
      <c r="N2354" t="inlineStr">
        <is>
          <t>alt</t>
        </is>
      </c>
      <c r="O2354" t="n">
        <v>100</v>
      </c>
      <c r="P2354" t="n">
        <v>0.009039999999999999</v>
      </c>
      <c r="Q2354" t="n">
        <v>85</v>
      </c>
      <c r="R2354" t="n">
        <v>0.04102</v>
      </c>
      <c r="S2354">
        <f>IMAGE("https://mitra.stanford.edu/kundaje/oak/projects/neuro-variants/variant_position/credible/roussos_2024/variant_figures/roussos_2024.adolescence.Astrocyte/rs67681818_count_position.png",4,220,900)</f>
        <v/>
      </c>
      <c r="T2354">
        <f>IMAGE("https://mitra.stanford.edu/kundaje/oak/projects/neuro-variants/variant_position/credible/roussos_2024/variant_figures/roussos_2024.adolescence.Astrocyte/rs67681818_profile_position.png",4,220,900)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-0.0150909829999999</v>
      </c>
      <c r="G2355" t="n">
        <v>0.451806336487484</v>
      </c>
      <c r="H2355" t="n">
        <v>0.0113758689411397</v>
      </c>
      <c r="I2355" t="n">
        <v>0.5944746232301588</v>
      </c>
      <c r="J2355" t="n">
        <v>0.0295826780998723</v>
      </c>
      <c r="K2355" t="n">
        <v>0.5237672114703601</v>
      </c>
      <c r="L2355" t="b">
        <v>0</v>
      </c>
      <c r="M2355" t="b">
        <v>0</v>
      </c>
      <c r="N2355" t="inlineStr">
        <is>
          <t>ref</t>
        </is>
      </c>
      <c r="O2355" t="n">
        <v>-95</v>
      </c>
      <c r="P2355" t="n">
        <v>0.09784</v>
      </c>
      <c r="Q2355" t="n">
        <v>-95</v>
      </c>
      <c r="R2355" t="n">
        <v>0.19</v>
      </c>
      <c r="S2355">
        <f>IMAGE("https://mitra.stanford.edu/kundaje/oak/projects/neuro-variants/variant_position/credible/roussos_2024/variant_figures/roussos_2024.adolescence.Astrocyte/rs67890737_count_position.png",4,220,900)</f>
        <v/>
      </c>
      <c r="T2355">
        <f>IMAGE("https://mitra.stanford.edu/kundaje/oak/projects/neuro-variants/variant_position/credible/roussos_2024/variant_figures/roussos_2024.adolescence.Astrocyte/rs67890737_profile_position.png",4,220,900)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0.0167381333414</v>
      </c>
      <c r="G2356" t="n">
        <v>0.5333514827124612</v>
      </c>
      <c r="H2356" t="n">
        <v>0.016737023624368</v>
      </c>
      <c r="I2356" t="n">
        <v>0.2384196281485389</v>
      </c>
      <c r="J2356" t="n">
        <v>0.1248894757143281</v>
      </c>
      <c r="K2356" t="n">
        <v>0.2937098847346065</v>
      </c>
      <c r="L2356" t="b">
        <v>0</v>
      </c>
      <c r="M2356" t="b">
        <v>0</v>
      </c>
      <c r="N2356" t="inlineStr">
        <is>
          <t>alt</t>
        </is>
      </c>
      <c r="O2356" t="n">
        <v>-30</v>
      </c>
      <c r="P2356" t="n">
        <v>0.003906</v>
      </c>
      <c r="Q2356" t="n">
        <v>70</v>
      </c>
      <c r="R2356" t="n">
        <v>0.08450000000000001</v>
      </c>
      <c r="S2356">
        <f>IMAGE("https://mitra.stanford.edu/kundaje/oak/projects/neuro-variants/variant_position/credible/roussos_2024/variant_figures/roussos_2024.adolescence.Astrocyte/rs10191681_count_position.png",4,220,900)</f>
        <v/>
      </c>
      <c r="T2356">
        <f>IMAGE("https://mitra.stanford.edu/kundaje/oak/projects/neuro-variants/variant_position/credible/roussos_2024/variant_figures/roussos_2024.adolescence.Astrocyte/rs10191681_profile_position.png",4,220,900)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-0.0015192659319999</v>
      </c>
      <c r="G2357" t="n">
        <v>0.5507041028921976</v>
      </c>
      <c r="H2357" t="n">
        <v>0.0383347801547178</v>
      </c>
      <c r="I2357" t="n">
        <v>0.011358772800638</v>
      </c>
      <c r="J2357" t="n">
        <v>0.0010214224253033</v>
      </c>
      <c r="K2357" t="n">
        <v>0.8886651041358946</v>
      </c>
      <c r="L2357" t="b">
        <v>0</v>
      </c>
      <c r="M2357" t="b">
        <v>0</v>
      </c>
      <c r="N2357" t="inlineStr">
        <is>
          <t>ref</t>
        </is>
      </c>
      <c r="O2357" t="n">
        <v>50</v>
      </c>
      <c r="P2357" t="n">
        <v>0.004364</v>
      </c>
      <c r="Q2357" t="n">
        <v>95</v>
      </c>
      <c r="R2357" t="n">
        <v>0.10565</v>
      </c>
      <c r="S2357">
        <f>IMAGE("https://mitra.stanford.edu/kundaje/oak/projects/neuro-variants/variant_position/credible/roussos_2024/variant_figures/roussos_2024.adolescence.Astrocyte/rs12618505_count_position.png",4,220,900)</f>
        <v/>
      </c>
      <c r="T2357">
        <f>IMAGE("https://mitra.stanford.edu/kundaje/oak/projects/neuro-variants/variant_position/credible/roussos_2024/variant_figures/roussos_2024.adolescence.Astrocyte/rs12618505_profile_position.png",4,220,900)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0.0036939802539999</v>
      </c>
      <c r="G2358" t="n">
        <v>0.8383607784603271</v>
      </c>
      <c r="H2358" t="n">
        <v>0.0355988615008459</v>
      </c>
      <c r="I2358" t="n">
        <v>0.0154602715946957</v>
      </c>
      <c r="J2358" t="n">
        <v>0.0014575853781562</v>
      </c>
      <c r="K2358" t="n">
        <v>0.8585038329244269</v>
      </c>
      <c r="L2358" t="b">
        <v>0</v>
      </c>
      <c r="M2358" t="b">
        <v>0</v>
      </c>
      <c r="N2358" t="inlineStr">
        <is>
          <t>alt</t>
        </is>
      </c>
      <c r="O2358" t="n">
        <v>-100</v>
      </c>
      <c r="P2358" t="n">
        <v>0.004852</v>
      </c>
      <c r="Q2358" t="n">
        <v>-95</v>
      </c>
      <c r="R2358" t="n">
        <v>0.07355</v>
      </c>
      <c r="S2358">
        <f>IMAGE("https://mitra.stanford.edu/kundaje/oak/projects/neuro-variants/variant_position/credible/roussos_2024/variant_figures/roussos_2024.adolescence.Astrocyte/rs4450589_count_position.png",4,220,900)</f>
        <v/>
      </c>
      <c r="T2358">
        <f>IMAGE("https://mitra.stanford.edu/kundaje/oak/projects/neuro-variants/variant_position/credible/roussos_2024/variant_figures/roussos_2024.adolescence.Astrocyte/rs4450589_profile_position.png",4,220,900)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0.0120990405</v>
      </c>
      <c r="G2359" t="n">
        <v>0.6903263087804432</v>
      </c>
      <c r="H2359" t="n">
        <v>0.0107733111299268</v>
      </c>
      <c r="I2359" t="n">
        <v>0.6715805155435186</v>
      </c>
      <c r="J2359" t="n">
        <v>0.0038193929323798</v>
      </c>
      <c r="K2359" t="n">
        <v>0.7631804835056943</v>
      </c>
      <c r="L2359" t="b">
        <v>0</v>
      </c>
      <c r="M2359" t="b">
        <v>0</v>
      </c>
      <c r="N2359" t="inlineStr">
        <is>
          <t>alt</t>
        </is>
      </c>
      <c r="O2359" t="n">
        <v>90</v>
      </c>
      <c r="P2359" t="n">
        <v>0.01746</v>
      </c>
      <c r="Q2359" t="n">
        <v>-100</v>
      </c>
      <c r="R2359" t="n">
        <v>0.06519999999999999</v>
      </c>
      <c r="S2359">
        <f>IMAGE("https://mitra.stanford.edu/kundaje/oak/projects/neuro-variants/variant_position/credible/roussos_2024/variant_figures/roussos_2024.adolescence.Astrocyte/rs10933236_count_position.png",4,220,900)</f>
        <v/>
      </c>
      <c r="T2359">
        <f>IMAGE("https://mitra.stanford.edu/kundaje/oak/projects/neuro-variants/variant_position/credible/roussos_2024/variant_figures/roussos_2024.adolescence.Astrocyte/rs10933236_profile_position.png",4,220,900)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-0.00432297752</v>
      </c>
      <c r="G2360" t="n">
        <v>0.7747215425335319</v>
      </c>
      <c r="H2360" t="n">
        <v>0.0251089891613794</v>
      </c>
      <c r="I2360" t="n">
        <v>0.0619254883389788</v>
      </c>
      <c r="J2360" t="n">
        <v>0.0012884609678663</v>
      </c>
      <c r="K2360" t="n">
        <v>0.8543598648454124</v>
      </c>
      <c r="L2360" t="b">
        <v>0</v>
      </c>
      <c r="M2360" t="b">
        <v>0</v>
      </c>
      <c r="N2360" t="inlineStr">
        <is>
          <t>ref</t>
        </is>
      </c>
      <c r="O2360" t="n">
        <v>40</v>
      </c>
      <c r="P2360" t="n">
        <v>0.006104</v>
      </c>
      <c r="Q2360" t="n">
        <v>90</v>
      </c>
      <c r="R2360" t="n">
        <v>0.0858</v>
      </c>
      <c r="S2360">
        <f>IMAGE("https://mitra.stanford.edu/kundaje/oak/projects/neuro-variants/variant_position/credible/roussos_2024/variant_figures/roussos_2024.adolescence.Astrocyte/rs66499548_count_position.png",4,220,900)</f>
        <v/>
      </c>
      <c r="T2360">
        <f>IMAGE("https://mitra.stanford.edu/kundaje/oak/projects/neuro-variants/variant_position/credible/roussos_2024/variant_figures/roussos_2024.adolescence.Astrocyte/rs66499548_profile_position.png",4,220,900)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0.0008711514</v>
      </c>
      <c r="G2361" t="n">
        <v>0.8171050814274963</v>
      </c>
      <c r="H2361" t="n">
        <v>0.0235451459817277</v>
      </c>
      <c r="I2361" t="n">
        <v>0.0822862409621698</v>
      </c>
      <c r="J2361" t="n">
        <v>0.0013945346111621</v>
      </c>
      <c r="K2361" t="n">
        <v>0.8479428809984662</v>
      </c>
      <c r="L2361" t="b">
        <v>0</v>
      </c>
      <c r="M2361" t="b">
        <v>0</v>
      </c>
      <c r="N2361" t="inlineStr">
        <is>
          <t>alt</t>
        </is>
      </c>
      <c r="O2361" t="n">
        <v>-45</v>
      </c>
      <c r="P2361" t="n">
        <v>0.0047</v>
      </c>
      <c r="Q2361" t="n">
        <v>95</v>
      </c>
      <c r="R2361" t="n">
        <v>0.008545000000000001</v>
      </c>
      <c r="S2361">
        <f>IMAGE("https://mitra.stanford.edu/kundaje/oak/projects/neuro-variants/variant_position/credible/roussos_2024/variant_figures/roussos_2024.adolescence.Astrocyte/rs13388454_count_position.png",4,220,900)</f>
        <v/>
      </c>
      <c r="T2361">
        <f>IMAGE("https://mitra.stanford.edu/kundaje/oak/projects/neuro-variants/variant_position/credible/roussos_2024/variant_figures/roussos_2024.adolescence.Astrocyte/rs13388454_profile_position.png",4,220,900)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-0.0010856071999999</v>
      </c>
      <c r="G2362" t="n">
        <v>0.6481567380582628</v>
      </c>
      <c r="H2362" t="n">
        <v>0.0166982853960277</v>
      </c>
      <c r="I2362" t="n">
        <v>0.2412034781598922</v>
      </c>
      <c r="J2362" t="n">
        <v>0.0009650476218733001</v>
      </c>
      <c r="K2362" t="n">
        <v>0.8745161069479436</v>
      </c>
      <c r="L2362" t="b">
        <v>0</v>
      </c>
      <c r="M2362" t="b">
        <v>0</v>
      </c>
      <c r="N2362" t="inlineStr">
        <is>
          <t>ref</t>
        </is>
      </c>
      <c r="O2362" t="n">
        <v>100</v>
      </c>
      <c r="P2362" t="n">
        <v>0.01172</v>
      </c>
      <c r="Q2362" t="n">
        <v>-20</v>
      </c>
      <c r="R2362" t="n">
        <v>0.03772</v>
      </c>
      <c r="S2362">
        <f>IMAGE("https://mitra.stanford.edu/kundaje/oak/projects/neuro-variants/variant_position/credible/roussos_2024/variant_figures/roussos_2024.adolescence.Astrocyte/rs4973071_count_position.png",4,220,900)</f>
        <v/>
      </c>
      <c r="T2362">
        <f>IMAGE("https://mitra.stanford.edu/kundaje/oak/projects/neuro-variants/variant_position/credible/roussos_2024/variant_figures/roussos_2024.adolescence.Astrocyte/rs4973071_profile_position.png",4,220,900)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0.008684255700000001</v>
      </c>
      <c r="G2363" t="n">
        <v>0.607998397801553</v>
      </c>
      <c r="H2363" t="n">
        <v>0.0136524336190832</v>
      </c>
      <c r="I2363" t="n">
        <v>0.4157937554467322</v>
      </c>
      <c r="J2363" t="n">
        <v>0.0174687713259946</v>
      </c>
      <c r="K2363" t="n">
        <v>0.6066529340799748</v>
      </c>
      <c r="L2363" t="b">
        <v>0</v>
      </c>
      <c r="M2363" t="b">
        <v>0</v>
      </c>
      <c r="N2363" t="inlineStr">
        <is>
          <t>alt</t>
        </is>
      </c>
      <c r="O2363" t="n">
        <v>100</v>
      </c>
      <c r="P2363" t="n">
        <v>0.008064</v>
      </c>
      <c r="Q2363" t="n">
        <v>-100</v>
      </c>
      <c r="R2363" t="n">
        <v>0.1528</v>
      </c>
      <c r="S2363">
        <f>IMAGE("https://mitra.stanford.edu/kundaje/oak/projects/neuro-variants/variant_position/credible/roussos_2024/variant_figures/roussos_2024.adolescence.Astrocyte/rs4246653_count_position.png",4,220,900)</f>
        <v/>
      </c>
      <c r="T2363">
        <f>IMAGE("https://mitra.stanford.edu/kundaje/oak/projects/neuro-variants/variant_position/credible/roussos_2024/variant_figures/roussos_2024.adolescence.Astrocyte/rs4246653_profile_position.png",4,220,900)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-0.1302993458</v>
      </c>
      <c r="G2364" t="n">
        <v>0.0488550873476854</v>
      </c>
      <c r="H2364" t="n">
        <v>0.0168999551755714</v>
      </c>
      <c r="I2364" t="n">
        <v>0.2263246403461772</v>
      </c>
      <c r="J2364" t="n">
        <v>0.1194500489570661</v>
      </c>
      <c r="K2364" t="n">
        <v>0.2968520426114366</v>
      </c>
      <c r="L2364" t="b">
        <v>0</v>
      </c>
      <c r="M2364" t="b">
        <v>0</v>
      </c>
      <c r="N2364" t="inlineStr">
        <is>
          <t>ref</t>
        </is>
      </c>
      <c r="O2364" t="n">
        <v>-80</v>
      </c>
      <c r="P2364" t="n">
        <v>0.02026</v>
      </c>
      <c r="Q2364" t="n">
        <v>75</v>
      </c>
      <c r="R2364" t="n">
        <v>0.00818</v>
      </c>
      <c r="S2364">
        <f>IMAGE("https://mitra.stanford.edu/kundaje/oak/projects/neuro-variants/variant_position/credible/roussos_2024/variant_figures/roussos_2024.adolescence.Astrocyte/rs6436754_count_position.png",4,220,900)</f>
        <v/>
      </c>
      <c r="T2364">
        <f>IMAGE("https://mitra.stanford.edu/kundaje/oak/projects/neuro-variants/variant_position/credible/roussos_2024/variant_figures/roussos_2024.adolescence.Astrocyte/rs6436754_profile_position.png",4,220,900)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-0.157188066</v>
      </c>
      <c r="G2365" t="n">
        <v>0.0320821673403273</v>
      </c>
      <c r="H2365" t="n">
        <v>0.0152524532330696</v>
      </c>
      <c r="I2365" t="n">
        <v>0.3110805609799688</v>
      </c>
      <c r="J2365" t="n">
        <v>0.0402404830430525</v>
      </c>
      <c r="K2365" t="n">
        <v>0.4710592557758205</v>
      </c>
      <c r="L2365" t="b">
        <v>0</v>
      </c>
      <c r="M2365" t="b">
        <v>0</v>
      </c>
      <c r="N2365" t="inlineStr">
        <is>
          <t>ref</t>
        </is>
      </c>
      <c r="O2365" t="n">
        <v>-100</v>
      </c>
      <c r="P2365" t="n">
        <v>0.0054</v>
      </c>
      <c r="Q2365" t="n">
        <v>-25</v>
      </c>
      <c r="R2365" t="n">
        <v>0.0608</v>
      </c>
      <c r="S2365">
        <f>IMAGE("https://mitra.stanford.edu/kundaje/oak/projects/neuro-variants/variant_position/credible/roussos_2024/variant_figures/roussos_2024.adolescence.Astrocyte/rs4246655_count_position.png",4,220,900)</f>
        <v/>
      </c>
      <c r="T2365">
        <f>IMAGE("https://mitra.stanford.edu/kundaje/oak/projects/neuro-variants/variant_position/credible/roussos_2024/variant_figures/roussos_2024.adolescence.Astrocyte/rs4246655_profile_position.png",4,220,900)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0.0154345703</v>
      </c>
      <c r="G2366" t="n">
        <v>0.62515711501737</v>
      </c>
      <c r="H2366" t="n">
        <v>0.0272930483568394</v>
      </c>
      <c r="I2366" t="n">
        <v>0.0456841047674704</v>
      </c>
      <c r="J2366" t="n">
        <v>0.008963593745363801</v>
      </c>
      <c r="K2366" t="n">
        <v>0.6816582011555579</v>
      </c>
      <c r="L2366" t="b">
        <v>0</v>
      </c>
      <c r="M2366" t="b">
        <v>0</v>
      </c>
      <c r="N2366" t="inlineStr">
        <is>
          <t>alt</t>
        </is>
      </c>
      <c r="O2366" t="n">
        <v>-45</v>
      </c>
      <c r="P2366" t="n">
        <v>0.004242</v>
      </c>
      <c r="Q2366" t="n">
        <v>-20</v>
      </c>
      <c r="R2366" t="n">
        <v>0.0338</v>
      </c>
      <c r="S2366">
        <f>IMAGE("https://mitra.stanford.edu/kundaje/oak/projects/neuro-variants/variant_position/credible/roussos_2024/variant_figures/roussos_2024.adolescence.Astrocyte/rs4321353_count_position.png",4,220,900)</f>
        <v/>
      </c>
      <c r="T2366">
        <f>IMAGE("https://mitra.stanford.edu/kundaje/oak/projects/neuro-variants/variant_position/credible/roussos_2024/variant_figures/roussos_2024.adolescence.Astrocyte/rs4321353_profile_position.png",4,220,900)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-0.008951998480000001</v>
      </c>
      <c r="G2367" t="n">
        <v>0.4229042691966306</v>
      </c>
      <c r="H2367" t="n">
        <v>0.06453811563871779</v>
      </c>
      <c r="I2367" t="n">
        <v>0.0015214914132139</v>
      </c>
      <c r="J2367" t="n">
        <v>0.0319474527490133</v>
      </c>
      <c r="K2367" t="n">
        <v>0.5109396637819025</v>
      </c>
      <c r="L2367" t="b">
        <v>1</v>
      </c>
      <c r="M2367" t="b">
        <v>0</v>
      </c>
      <c r="N2367" t="inlineStr">
        <is>
          <t>ref</t>
        </is>
      </c>
      <c r="O2367" t="n">
        <v>-90</v>
      </c>
      <c r="P2367" t="n">
        <v>0.010254</v>
      </c>
      <c r="Q2367" t="n">
        <v>30</v>
      </c>
      <c r="R2367" t="n">
        <v>0.05136</v>
      </c>
      <c r="S2367">
        <f>IMAGE("https://mitra.stanford.edu/kundaje/oak/projects/neuro-variants/variant_position/credible/roussos_2024/variant_figures/roussos_2024.adolescence.Astrocyte/rs55784527_count_position.png",4,220,900)</f>
        <v/>
      </c>
      <c r="T2367">
        <f>IMAGE("https://mitra.stanford.edu/kundaje/oak/projects/neuro-variants/variant_position/credible/roussos_2024/variant_figures/roussos_2024.adolescence.Astrocyte/rs55784527_profile_position.png",4,220,900)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-0.038306552</v>
      </c>
      <c r="G2368" t="n">
        <v>0.3300879644004769</v>
      </c>
      <c r="H2368" t="n">
        <v>0.0256483433924403</v>
      </c>
      <c r="I2368" t="n">
        <v>0.0584504143558274</v>
      </c>
      <c r="J2368" t="n">
        <v>0.3213000326380441</v>
      </c>
      <c r="K2368" t="n">
        <v>0.1225979204579913</v>
      </c>
      <c r="L2368" t="b">
        <v>0</v>
      </c>
      <c r="M2368" t="b">
        <v>0</v>
      </c>
      <c r="N2368" t="inlineStr">
        <is>
          <t>ref</t>
        </is>
      </c>
      <c r="O2368" t="n">
        <v>-85</v>
      </c>
      <c r="P2368" t="n">
        <v>0.01251</v>
      </c>
      <c r="Q2368" t="n">
        <v>-85</v>
      </c>
      <c r="R2368" t="n">
        <v>0.1299</v>
      </c>
      <c r="S2368">
        <f>IMAGE("https://mitra.stanford.edu/kundaje/oak/projects/neuro-variants/variant_position/credible/roussos_2024/variant_figures/roussos_2024.adolescence.Astrocyte/rs62193248_count_position.png",4,220,900)</f>
        <v/>
      </c>
      <c r="T2368">
        <f>IMAGE("https://mitra.stanford.edu/kundaje/oak/projects/neuro-variants/variant_position/credible/roussos_2024/variant_figures/roussos_2024.adolescence.Astrocyte/rs62193248_profile_position.png",4,220,900)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0.1446539972</v>
      </c>
      <c r="G2369" t="n">
        <v>0.0388035119615256</v>
      </c>
      <c r="H2369" t="n">
        <v>0.0134886819916631</v>
      </c>
      <c r="I2369" t="n">
        <v>0.4216290042858844</v>
      </c>
      <c r="J2369" t="n">
        <v>0.23564667833724</v>
      </c>
      <c r="K2369" t="n">
        <v>0.1795290046861636</v>
      </c>
      <c r="L2369" t="b">
        <v>0</v>
      </c>
      <c r="M2369" t="b">
        <v>0</v>
      </c>
      <c r="N2369" t="inlineStr">
        <is>
          <t>alt</t>
        </is>
      </c>
      <c r="O2369" t="n">
        <v>-70</v>
      </c>
      <c r="P2369" t="n">
        <v>0.01599</v>
      </c>
      <c r="Q2369" t="n">
        <v>60</v>
      </c>
      <c r="R2369" t="n">
        <v>0.06934</v>
      </c>
      <c r="S2369">
        <f>IMAGE("https://mitra.stanford.edu/kundaje/oak/projects/neuro-variants/variant_position/credible/roussos_2024/variant_figures/roussos_2024.adolescence.Astrocyte/rs11886634_count_position.png",4,220,900)</f>
        <v/>
      </c>
      <c r="T2369">
        <f>IMAGE("https://mitra.stanford.edu/kundaje/oak/projects/neuro-variants/variant_position/credible/roussos_2024/variant_figures/roussos_2024.adolescence.Astrocyte/rs11886634_profile_position.png",4,220,900)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-0.0063749232399999</v>
      </c>
      <c r="G2370" t="n">
        <v>0.4560276617996736</v>
      </c>
      <c r="H2370" t="n">
        <v>0.009562107550933599</v>
      </c>
      <c r="I2370" t="n">
        <v>0.7779354920518983</v>
      </c>
      <c r="J2370" t="n">
        <v>0.0258070498175235</v>
      </c>
      <c r="K2370" t="n">
        <v>0.5539037789462042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0.1838</v>
      </c>
      <c r="Q2370" t="n">
        <v>-10</v>
      </c>
      <c r="R2370" t="n">
        <v>0.01364</v>
      </c>
      <c r="S2370">
        <f>IMAGE("https://mitra.stanford.edu/kundaje/oak/projects/neuro-variants/variant_position/credible/roussos_2024/variant_figures/roussos_2024.adolescence.Astrocyte/rs11885896_count_position.png",4,220,900)</f>
        <v/>
      </c>
      <c r="T2370">
        <f>IMAGE("https://mitra.stanford.edu/kundaje/oak/projects/neuro-variants/variant_position/credible/roussos_2024/variant_figures/roussos_2024.adolescence.Astrocyte/rs11885896_profile_position.png",4,220,900)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-0.0916716024</v>
      </c>
      <c r="G2371" t="n">
        <v>0.1119685680010162</v>
      </c>
      <c r="H2371" t="n">
        <v>0.0238142383381513</v>
      </c>
      <c r="I2371" t="n">
        <v>0.0749412138204993</v>
      </c>
      <c r="J2371" t="n">
        <v>0.3075601578494496</v>
      </c>
      <c r="K2371" t="n">
        <v>0.1286983989019318</v>
      </c>
      <c r="L2371" t="b">
        <v>0</v>
      </c>
      <c r="M2371" t="b">
        <v>0</v>
      </c>
      <c r="N2371" t="inlineStr">
        <is>
          <t>ref</t>
        </is>
      </c>
      <c r="O2371" t="n">
        <v>10</v>
      </c>
      <c r="P2371" t="n">
        <v>0.003296</v>
      </c>
      <c r="Q2371" t="n">
        <v>15</v>
      </c>
      <c r="R2371" t="n">
        <v>0.01758</v>
      </c>
      <c r="S2371">
        <f>IMAGE("https://mitra.stanford.edu/kundaje/oak/projects/neuro-variants/variant_position/credible/roussos_2024/variant_figures/roussos_2024.adolescence.Astrocyte/rs62190392_count_position.png",4,220,900)</f>
        <v/>
      </c>
      <c r="T2371">
        <f>IMAGE("https://mitra.stanford.edu/kundaje/oak/projects/neuro-variants/variant_position/credible/roussos_2024/variant_figures/roussos_2024.adolescence.Astrocyte/rs62190392_profile_position.png",4,220,900)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-0.0257309028</v>
      </c>
      <c r="G2372" t="n">
        <v>0.4223028351201973</v>
      </c>
      <c r="H2372" t="n">
        <v>0.0424220996377024</v>
      </c>
      <c r="I2372" t="n">
        <v>0.0075800890761427</v>
      </c>
      <c r="J2372" t="n">
        <v>0.08149793786903239</v>
      </c>
      <c r="K2372" t="n">
        <v>0.3549421217929959</v>
      </c>
      <c r="L2372" t="b">
        <v>1</v>
      </c>
      <c r="M2372" t="b">
        <v>1</v>
      </c>
      <c r="N2372" t="inlineStr">
        <is>
          <t>ref</t>
        </is>
      </c>
      <c r="O2372" t="n">
        <v>90</v>
      </c>
      <c r="P2372" t="n">
        <v>0.1221</v>
      </c>
      <c r="Q2372" t="n">
        <v>50</v>
      </c>
      <c r="R2372" t="n">
        <v>0.1459</v>
      </c>
      <c r="S2372">
        <f>IMAGE("https://mitra.stanford.edu/kundaje/oak/projects/neuro-variants/variant_position/credible/roussos_2024/variant_figures/roussos_2024.adolescence.Astrocyte/rs370430952_count_position.png",4,220,900)</f>
        <v/>
      </c>
      <c r="T2372">
        <f>IMAGE("https://mitra.stanford.edu/kundaje/oak/projects/neuro-variants/variant_position/credible/roussos_2024/variant_figures/roussos_2024.adolescence.Astrocyte/rs370430952_profile_position.png",4,220,900)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0.00377107194</v>
      </c>
      <c r="G2373" t="n">
        <v>0.8545207461047333</v>
      </c>
      <c r="H2373" t="n">
        <v>0.0312522993273708</v>
      </c>
      <c r="I2373" t="n">
        <v>0.0265721692077635</v>
      </c>
      <c r="J2373" t="n">
        <v>0.07336883956917779</v>
      </c>
      <c r="K2373" t="n">
        <v>0.3759045961559905</v>
      </c>
      <c r="L2373" t="b">
        <v>0</v>
      </c>
      <c r="M2373" t="b">
        <v>0</v>
      </c>
      <c r="N2373" t="inlineStr">
        <is>
          <t>alt</t>
        </is>
      </c>
      <c r="O2373" t="n">
        <v>-10</v>
      </c>
      <c r="P2373" t="n">
        <v>0.001404</v>
      </c>
      <c r="Q2373" t="n">
        <v>100</v>
      </c>
      <c r="R2373" t="n">
        <v>0.1351</v>
      </c>
      <c r="S2373">
        <f>IMAGE("https://mitra.stanford.edu/kundaje/oak/projects/neuro-variants/variant_position/credible/roussos_2024/variant_figures/roussos_2024.adolescence.Astrocyte/rs7592697_count_position.png",4,220,900)</f>
        <v/>
      </c>
      <c r="T2373">
        <f>IMAGE("https://mitra.stanford.edu/kundaje/oak/projects/neuro-variants/variant_position/credible/roussos_2024/variant_figures/roussos_2024.adolescence.Astrocyte/rs7592697_profile_position.png",4,220,900)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0.001200299106</v>
      </c>
      <c r="G2374" t="n">
        <v>0.8083637052321485</v>
      </c>
      <c r="H2374" t="n">
        <v>0.0086945867509857</v>
      </c>
      <c r="I2374" t="n">
        <v>0.876199955601676</v>
      </c>
      <c r="J2374" t="n">
        <v>0.0032793816574191</v>
      </c>
      <c r="K2374" t="n">
        <v>0.7765137922656637</v>
      </c>
      <c r="L2374" t="b">
        <v>0</v>
      </c>
      <c r="M2374" t="b">
        <v>0</v>
      </c>
      <c r="N2374" t="inlineStr">
        <is>
          <t>alt</t>
        </is>
      </c>
      <c r="O2374" t="n">
        <v>-95</v>
      </c>
      <c r="P2374" t="n">
        <v>0.00703</v>
      </c>
      <c r="Q2374" t="n">
        <v>-95</v>
      </c>
      <c r="R2374" t="n">
        <v>0.0673</v>
      </c>
      <c r="S2374">
        <f>IMAGE("https://mitra.stanford.edu/kundaje/oak/projects/neuro-variants/variant_position/credible/roussos_2024/variant_figures/roussos_2024.adolescence.Astrocyte/rs13035379_count_position.png",4,220,900)</f>
        <v/>
      </c>
      <c r="T2374">
        <f>IMAGE("https://mitra.stanford.edu/kundaje/oak/projects/neuro-variants/variant_position/credible/roussos_2024/variant_figures/roussos_2024.adolescence.Astrocyte/rs13035379_profile_position.png",4,220,900)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0.02445432</v>
      </c>
      <c r="G2375" t="n">
        <v>0.47987677124708</v>
      </c>
      <c r="H2375" t="n">
        <v>0.0096127410069278</v>
      </c>
      <c r="I2375" t="n">
        <v>0.7961500111075565</v>
      </c>
      <c r="J2375" t="n">
        <v>0.009330771741387901</v>
      </c>
      <c r="K2375" t="n">
        <v>0.6704615848592271</v>
      </c>
      <c r="L2375" t="b">
        <v>0</v>
      </c>
      <c r="M2375" t="b">
        <v>0</v>
      </c>
      <c r="N2375" t="inlineStr">
        <is>
          <t>alt</t>
        </is>
      </c>
      <c r="O2375" t="n">
        <v>-100</v>
      </c>
      <c r="P2375" t="n">
        <v>0.00813</v>
      </c>
      <c r="Q2375" t="n">
        <v>0</v>
      </c>
      <c r="R2375" t="n">
        <v>0</v>
      </c>
      <c r="S2375">
        <f>IMAGE("https://mitra.stanford.edu/kundaje/oak/projects/neuro-variants/variant_position/credible/roussos_2024/variant_figures/roussos_2024.adolescence.Astrocyte/rs6749080_count_position.png",4,220,900)</f>
        <v/>
      </c>
      <c r="T2375">
        <f>IMAGE("https://mitra.stanford.edu/kundaje/oak/projects/neuro-variants/variant_position/credible/roussos_2024/variant_figures/roussos_2024.adolescence.Astrocyte/rs6749080_profile_position.png",4,220,900)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-0.0621822482</v>
      </c>
      <c r="G2376" t="n">
        <v>0.1741003172530974</v>
      </c>
      <c r="H2376" t="n">
        <v>0.0205994831477836</v>
      </c>
      <c r="I2376" t="n">
        <v>0.1235210463251726</v>
      </c>
      <c r="J2376" t="n">
        <v>0.0091505207251579</v>
      </c>
      <c r="K2376" t="n">
        <v>0.6695956016220505</v>
      </c>
      <c r="L2376" t="b">
        <v>0</v>
      </c>
      <c r="M2376" t="b">
        <v>0</v>
      </c>
      <c r="N2376" t="inlineStr">
        <is>
          <t>ref</t>
        </is>
      </c>
      <c r="O2376" t="n">
        <v>60</v>
      </c>
      <c r="P2376" t="n">
        <v>0.00821</v>
      </c>
      <c r="Q2376" t="n">
        <v>60</v>
      </c>
      <c r="R2376" t="n">
        <v>0.10596</v>
      </c>
      <c r="S2376">
        <f>IMAGE("https://mitra.stanford.edu/kundaje/oak/projects/neuro-variants/variant_position/credible/roussos_2024/variant_figures/roussos_2024.adolescence.Astrocyte/rs6704763_count_position.png",4,220,900)</f>
        <v/>
      </c>
      <c r="T2376">
        <f>IMAGE("https://mitra.stanford.edu/kundaje/oak/projects/neuro-variants/variant_position/credible/roussos_2024/variant_figures/roussos_2024.adolescence.Astrocyte/rs6704763_profile_position.png",4,220,900)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0.0177700424</v>
      </c>
      <c r="G2377" t="n">
        <v>0.5744723350185807</v>
      </c>
      <c r="H2377" t="n">
        <v>0.0279622717098631</v>
      </c>
      <c r="I2377" t="n">
        <v>0.0413068286644574</v>
      </c>
      <c r="J2377" t="n">
        <v>0.0068398955582588</v>
      </c>
      <c r="K2377" t="n">
        <v>0.7328294801715077</v>
      </c>
      <c r="L2377" t="b">
        <v>0</v>
      </c>
      <c r="M2377" t="b">
        <v>0</v>
      </c>
      <c r="N2377" t="inlineStr">
        <is>
          <t>alt</t>
        </is>
      </c>
      <c r="O2377" t="n">
        <v>30</v>
      </c>
      <c r="P2377" t="n">
        <v>0.01888</v>
      </c>
      <c r="Q2377" t="n">
        <v>90</v>
      </c>
      <c r="R2377" t="n">
        <v>0.1879</v>
      </c>
      <c r="S2377">
        <f>IMAGE("https://mitra.stanford.edu/kundaje/oak/projects/neuro-variants/variant_position/credible/roussos_2024/variant_figures/roussos_2024.adolescence.Astrocyte/rs6716488_count_position.png",4,220,900)</f>
        <v/>
      </c>
      <c r="T2377">
        <f>IMAGE("https://mitra.stanford.edu/kundaje/oak/projects/neuro-variants/variant_position/credible/roussos_2024/variant_figures/roussos_2024.adolescence.Astrocyte/rs6716488_profile_position.png",4,220,900)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-0.01191279764</v>
      </c>
      <c r="G2378" t="n">
        <v>0.7146152659980782</v>
      </c>
      <c r="H2378" t="n">
        <v>0.0084592317759189</v>
      </c>
      <c r="I2378" t="n">
        <v>0.8682724060354008</v>
      </c>
      <c r="J2378" t="n">
        <v>0.0155453520458118</v>
      </c>
      <c r="K2378" t="n">
        <v>0.6027494479720686</v>
      </c>
      <c r="L2378" t="b">
        <v>0</v>
      </c>
      <c r="M2378" t="b">
        <v>0</v>
      </c>
      <c r="N2378" t="inlineStr">
        <is>
          <t>ref</t>
        </is>
      </c>
      <c r="O2378" t="n">
        <v>5</v>
      </c>
      <c r="P2378" t="n">
        <v>0.000538</v>
      </c>
      <c r="Q2378" t="n">
        <v>55</v>
      </c>
      <c r="R2378" t="n">
        <v>0.1305</v>
      </c>
      <c r="S2378">
        <f>IMAGE("https://mitra.stanford.edu/kundaje/oak/projects/neuro-variants/variant_position/credible/roussos_2024/variant_figures/roussos_2024.adolescence.Astrocyte/rs2293782_count_position.png",4,220,900)</f>
        <v/>
      </c>
      <c r="T2378">
        <f>IMAGE("https://mitra.stanford.edu/kundaje/oak/projects/neuro-variants/variant_position/credible/roussos_2024/variant_figures/roussos_2024.adolescence.Astrocyte/rs2293782_profile_position.png",4,220,900)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-0.00426306314</v>
      </c>
      <c r="G2379" t="n">
        <v>0.5213062684187578</v>
      </c>
      <c r="H2379" t="n">
        <v>0.0497946079869734</v>
      </c>
      <c r="I2379" t="n">
        <v>0.0040368763124414</v>
      </c>
      <c r="J2379" t="n">
        <v>0.1888607839064771</v>
      </c>
      <c r="K2379" t="n">
        <v>0.2164523799961282</v>
      </c>
      <c r="L2379" t="b">
        <v>1</v>
      </c>
      <c r="M2379" t="b">
        <v>1</v>
      </c>
      <c r="N2379" t="inlineStr">
        <is>
          <t>ref</t>
        </is>
      </c>
      <c r="O2379" t="n">
        <v>-100</v>
      </c>
      <c r="P2379" t="n">
        <v>0.010376</v>
      </c>
      <c r="Q2379" t="n">
        <v>-100</v>
      </c>
      <c r="R2379" t="n">
        <v>0.05957</v>
      </c>
      <c r="S2379">
        <f>IMAGE("https://mitra.stanford.edu/kundaje/oak/projects/neuro-variants/variant_position/credible/roussos_2024/variant_figures/roussos_2024.adolescence.Astrocyte/rs56054779_count_position.png",4,220,900)</f>
        <v/>
      </c>
      <c r="T2379">
        <f>IMAGE("https://mitra.stanford.edu/kundaje/oak/projects/neuro-variants/variant_position/credible/roussos_2024/variant_figures/roussos_2024.adolescence.Astrocyte/rs56054779_profile_position.png",4,220,900)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-0.01369467932</v>
      </c>
      <c r="G2380" t="n">
        <v>0.6809096933476494</v>
      </c>
      <c r="H2380" t="n">
        <v>0.0137679876750172</v>
      </c>
      <c r="I2380" t="n">
        <v>0.4047389372728945</v>
      </c>
      <c r="J2380" t="n">
        <v>0.0005726493190516</v>
      </c>
      <c r="K2380" t="n">
        <v>0.9184471094754876</v>
      </c>
      <c r="L2380" t="b">
        <v>0</v>
      </c>
      <c r="M2380" t="b">
        <v>0</v>
      </c>
      <c r="N2380" t="inlineStr">
        <is>
          <t>ref</t>
        </is>
      </c>
      <c r="O2380" t="n">
        <v>-95</v>
      </c>
      <c r="P2380" t="n">
        <v>0.01046</v>
      </c>
      <c r="Q2380" t="n">
        <v>-100</v>
      </c>
      <c r="R2380" t="n">
        <v>0.1021</v>
      </c>
      <c r="S2380">
        <f>IMAGE("https://mitra.stanford.edu/kundaje/oak/projects/neuro-variants/variant_position/credible/roussos_2024/variant_figures/roussos_2024.adolescence.Astrocyte/rs12993791_count_position.png",4,220,900)</f>
        <v/>
      </c>
      <c r="T2380">
        <f>IMAGE("https://mitra.stanford.edu/kundaje/oak/projects/neuro-variants/variant_position/credible/roussos_2024/variant_figures/roussos_2024.adolescence.Astrocyte/rs12993791_profile_position.png",4,220,900)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-0.21442752</v>
      </c>
      <c r="G2381" t="n">
        <v>0.0172098995834425</v>
      </c>
      <c r="H2381" t="n">
        <v>0.0245900239983271</v>
      </c>
      <c r="I2381" t="n">
        <v>0.0691074223382017</v>
      </c>
      <c r="J2381" t="n">
        <v>0.2628430703498204</v>
      </c>
      <c r="K2381" t="n">
        <v>0.1574875100097219</v>
      </c>
      <c r="L2381" t="b">
        <v>1</v>
      </c>
      <c r="M2381" t="b">
        <v>0</v>
      </c>
      <c r="N2381" t="inlineStr">
        <is>
          <t>ref</t>
        </is>
      </c>
      <c r="O2381" t="n">
        <v>25</v>
      </c>
      <c r="P2381" t="n">
        <v>0.008670000000000001</v>
      </c>
      <c r="Q2381" t="n">
        <v>25</v>
      </c>
      <c r="R2381" t="n">
        <v>0.042</v>
      </c>
      <c r="S2381">
        <f>IMAGE("https://mitra.stanford.edu/kundaje/oak/projects/neuro-variants/variant_position/credible/roussos_2024/variant_figures/roussos_2024.adolescence.Astrocyte/rs12328151_count_position.png",4,220,900)</f>
        <v/>
      </c>
      <c r="T2381">
        <f>IMAGE("https://mitra.stanford.edu/kundaje/oak/projects/neuro-variants/variant_position/credible/roussos_2024/variant_figures/roussos_2024.adolescence.Astrocyte/rs12328151_profile_position.png",4,220,900)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-0.0425086346</v>
      </c>
      <c r="G2382" t="n">
        <v>0.2853960941623449</v>
      </c>
      <c r="H2382" t="n">
        <v>0.0127265937010113</v>
      </c>
      <c r="I2382" t="n">
        <v>0.4891228319931931</v>
      </c>
      <c r="J2382" t="n">
        <v>0.7417700204729549</v>
      </c>
      <c r="K2382" t="n">
        <v>0.0127619221716921</v>
      </c>
      <c r="L2382" t="b">
        <v>0</v>
      </c>
      <c r="M2382" t="b">
        <v>0</v>
      </c>
      <c r="N2382" t="inlineStr">
        <is>
          <t>ref</t>
        </is>
      </c>
      <c r="O2382" t="n">
        <v>25</v>
      </c>
      <c r="P2382" t="n">
        <v>0.0012665</v>
      </c>
      <c r="Q2382" t="n">
        <v>35</v>
      </c>
      <c r="R2382" t="n">
        <v>0.0679</v>
      </c>
      <c r="S2382">
        <f>IMAGE("https://mitra.stanford.edu/kundaje/oak/projects/neuro-variants/variant_position/credible/roussos_2024/variant_figures/roussos_2024.adolescence.Astrocyte/rs2675968_count_position.png",4,220,900)</f>
        <v/>
      </c>
      <c r="T2382">
        <f>IMAGE("https://mitra.stanford.edu/kundaje/oak/projects/neuro-variants/variant_position/credible/roussos_2024/variant_figures/roussos_2024.adolescence.Astrocyte/rs2675968_profile_position.png",4,220,900)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0.0335948032</v>
      </c>
      <c r="G2383" t="n">
        <v>0.0898116884905258</v>
      </c>
      <c r="H2383" t="n">
        <v>0.0304510554465533</v>
      </c>
      <c r="I2383" t="n">
        <v>0.0437030249501977</v>
      </c>
      <c r="J2383" t="n">
        <v>0.06886849835326229</v>
      </c>
      <c r="K2383" t="n">
        <v>0.383057606753599</v>
      </c>
      <c r="L2383" t="b">
        <v>0</v>
      </c>
      <c r="M2383" t="b">
        <v>0</v>
      </c>
      <c r="N2383" t="inlineStr">
        <is>
          <t>alt</t>
        </is>
      </c>
      <c r="O2383" t="n">
        <v>-90</v>
      </c>
      <c r="P2383" t="n">
        <v>0.0306</v>
      </c>
      <c r="Q2383" t="n">
        <v>-70</v>
      </c>
      <c r="R2383" t="n">
        <v>0.0839</v>
      </c>
      <c r="S2383">
        <f>IMAGE("https://mitra.stanford.edu/kundaje/oak/projects/neuro-variants/variant_position/credible/roussos_2024/variant_figures/roussos_2024.adolescence.Astrocyte/rs938575_count_position.png",4,220,900)</f>
        <v/>
      </c>
      <c r="T2383">
        <f>IMAGE("https://mitra.stanford.edu/kundaje/oak/projects/neuro-variants/variant_position/credible/roussos_2024/variant_figures/roussos_2024.adolescence.Astrocyte/rs938575_profile_position.png",4,220,900)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-0.213656734</v>
      </c>
      <c r="G2384" t="n">
        <v>0.0171594713066962</v>
      </c>
      <c r="H2384" t="n">
        <v>0.0263124185122418</v>
      </c>
      <c r="I2384" t="n">
        <v>0.0532447564426775</v>
      </c>
      <c r="J2384" t="n">
        <v>0.5060120760763136</v>
      </c>
      <c r="K2384" t="n">
        <v>0.0527323805623855</v>
      </c>
      <c r="L2384" t="b">
        <v>1</v>
      </c>
      <c r="M2384" t="b">
        <v>0</v>
      </c>
      <c r="N2384" t="inlineStr">
        <is>
          <t>ref</t>
        </is>
      </c>
      <c r="O2384" t="n">
        <v>-100</v>
      </c>
      <c r="P2384" t="n">
        <v>0.004814</v>
      </c>
      <c r="Q2384" t="n">
        <v>15</v>
      </c>
      <c r="R2384" t="n">
        <v>0.01563</v>
      </c>
      <c r="S2384">
        <f>IMAGE("https://mitra.stanford.edu/kundaje/oak/projects/neuro-variants/variant_position/credible/roussos_2024/variant_figures/roussos_2024.adolescence.Astrocyte/rs79340715_count_position.png",4,220,900)</f>
        <v/>
      </c>
      <c r="T2384">
        <f>IMAGE("https://mitra.stanford.edu/kundaje/oak/projects/neuro-variants/variant_position/credible/roussos_2024/variant_figures/roussos_2024.adolescence.Astrocyte/rs79340715_profile_position.png",4,220,900)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-0.0564983024</v>
      </c>
      <c r="G2385" t="n">
        <v>0.2088696100614988</v>
      </c>
      <c r="H2385" t="n">
        <v>0.0104163800940775</v>
      </c>
      <c r="I2385" t="n">
        <v>0.7160726032700853</v>
      </c>
      <c r="J2385" t="n">
        <v>0.0660512417292228</v>
      </c>
      <c r="K2385" t="n">
        <v>0.4012400472797181</v>
      </c>
      <c r="L2385" t="b">
        <v>0</v>
      </c>
      <c r="M2385" t="b">
        <v>0</v>
      </c>
      <c r="N2385" t="inlineStr">
        <is>
          <t>ref</t>
        </is>
      </c>
      <c r="O2385" t="n">
        <v>-20</v>
      </c>
      <c r="P2385" t="n">
        <v>0.00241</v>
      </c>
      <c r="Q2385" t="n">
        <v>-10</v>
      </c>
      <c r="R2385" t="n">
        <v>0.008545000000000001</v>
      </c>
      <c r="S2385">
        <f>IMAGE("https://mitra.stanford.edu/kundaje/oak/projects/neuro-variants/variant_position/credible/roussos_2024/variant_figures/roussos_2024.adolescence.Astrocyte/rs4663623_count_position.png",4,220,900)</f>
        <v/>
      </c>
      <c r="T2385">
        <f>IMAGE("https://mitra.stanford.edu/kundaje/oak/projects/neuro-variants/variant_position/credible/roussos_2024/variant_figures/roussos_2024.adolescence.Astrocyte/rs4663623_profile_position.png",4,220,900)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-0.142717406</v>
      </c>
      <c r="G2386" t="n">
        <v>0.0386252844455405</v>
      </c>
      <c r="H2386" t="n">
        <v>0.0194558972208335</v>
      </c>
      <c r="I2386" t="n">
        <v>0.1561058467443152</v>
      </c>
      <c r="J2386" t="n">
        <v>0.2476893748331008</v>
      </c>
      <c r="K2386" t="n">
        <v>0.1669249815726414</v>
      </c>
      <c r="L2386" t="b">
        <v>0</v>
      </c>
      <c r="M2386" t="b">
        <v>0</v>
      </c>
      <c r="N2386" t="inlineStr">
        <is>
          <t>ref</t>
        </is>
      </c>
      <c r="O2386" t="n">
        <v>45</v>
      </c>
      <c r="P2386" t="n">
        <v>0.0003357</v>
      </c>
      <c r="Q2386" t="n">
        <v>90</v>
      </c>
      <c r="R2386" t="n">
        <v>0.08167000000000001</v>
      </c>
      <c r="S2386">
        <f>IMAGE("https://mitra.stanford.edu/kundaje/oak/projects/neuro-variants/variant_position/credible/roussos_2024/variant_figures/roussos_2024.adolescence.Astrocyte/rs4663624_count_position.png",4,220,900)</f>
        <v/>
      </c>
      <c r="T2386">
        <f>IMAGE("https://mitra.stanford.edu/kundaje/oak/projects/neuro-variants/variant_position/credible/roussos_2024/variant_figures/roussos_2024.adolescence.Astrocyte/rs4663624_profile_position.png",4,220,900)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-0.11454263</v>
      </c>
      <c r="G2387" t="n">
        <v>0.0649867919110446</v>
      </c>
      <c r="H2387" t="n">
        <v>0.0190716717560127</v>
      </c>
      <c r="I2387" t="n">
        <v>0.158123082708957</v>
      </c>
      <c r="J2387" t="n">
        <v>0.0108402812805981</v>
      </c>
      <c r="K2387" t="n">
        <v>0.653592057083193</v>
      </c>
      <c r="L2387" t="b">
        <v>0</v>
      </c>
      <c r="M2387" t="b">
        <v>0</v>
      </c>
      <c r="N2387" t="inlineStr">
        <is>
          <t>ref</t>
        </is>
      </c>
      <c r="O2387" t="n">
        <v>-5</v>
      </c>
      <c r="P2387" t="n">
        <v>0.0001907</v>
      </c>
      <c r="Q2387" t="n">
        <v>80</v>
      </c>
      <c r="R2387" t="n">
        <v>0.2612</v>
      </c>
      <c r="S2387">
        <f>IMAGE("https://mitra.stanford.edu/kundaje/oak/projects/neuro-variants/variant_position/credible/roussos_2024/variant_figures/roussos_2024.adolescence.Astrocyte/rs35772117_count_position.png",4,220,900)</f>
        <v/>
      </c>
      <c r="T2387">
        <f>IMAGE("https://mitra.stanford.edu/kundaje/oak/projects/neuro-variants/variant_position/credible/roussos_2024/variant_figures/roussos_2024.adolescence.Astrocyte/rs35772117_profile_position.png",4,220,900)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-0.0754959167999999</v>
      </c>
      <c r="G2388" t="n">
        <v>0.1294393093136393</v>
      </c>
      <c r="H2388" t="n">
        <v>0.0320664705632951</v>
      </c>
      <c r="I2388" t="n">
        <v>0.0242552737455103</v>
      </c>
      <c r="J2388" t="n">
        <v>0.0757009761742277</v>
      </c>
      <c r="K2388" t="n">
        <v>0.36961581190702</v>
      </c>
      <c r="L2388" t="b">
        <v>0</v>
      </c>
      <c r="M2388" t="b">
        <v>0</v>
      </c>
      <c r="N2388" t="inlineStr">
        <is>
          <t>ref</t>
        </is>
      </c>
      <c r="O2388" t="n">
        <v>-100</v>
      </c>
      <c r="P2388" t="n">
        <v>0.03296</v>
      </c>
      <c r="Q2388" t="n">
        <v>-85</v>
      </c>
      <c r="R2388" t="n">
        <v>0.2812</v>
      </c>
      <c r="S2388">
        <f>IMAGE("https://mitra.stanford.edu/kundaje/oak/projects/neuro-variants/variant_position/credible/roussos_2024/variant_figures/roussos_2024.adolescence.Astrocyte/rs13025591_count_position.png",4,220,900)</f>
        <v/>
      </c>
      <c r="T2388">
        <f>IMAGE("https://mitra.stanford.edu/kundaje/oak/projects/neuro-variants/variant_position/credible/roussos_2024/variant_figures/roussos_2024.adolescence.Astrocyte/rs13025591_profile_position.png",4,220,900)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-0.223743328</v>
      </c>
      <c r="G2389" t="n">
        <v>0.0167455382557068</v>
      </c>
      <c r="H2389" t="n">
        <v>0.0298316652854386</v>
      </c>
      <c r="I2389" t="n">
        <v>0.0320965473424112</v>
      </c>
      <c r="J2389" t="n">
        <v>0.1690420734059282</v>
      </c>
      <c r="K2389" t="n">
        <v>0.2344283516267546</v>
      </c>
      <c r="L2389" t="b">
        <v>1</v>
      </c>
      <c r="M2389" t="b">
        <v>0</v>
      </c>
      <c r="N2389" t="inlineStr">
        <is>
          <t>ref</t>
        </is>
      </c>
      <c r="O2389" t="n">
        <v>-5</v>
      </c>
      <c r="P2389" t="n">
        <v>0.002361</v>
      </c>
      <c r="Q2389" t="n">
        <v>-5</v>
      </c>
      <c r="R2389" t="n">
        <v>0.02197</v>
      </c>
      <c r="S2389">
        <f>IMAGE("https://mitra.stanford.edu/kundaje/oak/projects/neuro-variants/variant_position/credible/roussos_2024/variant_figures/roussos_2024.adolescence.Astrocyte/rs10192764_count_position.png",4,220,900)</f>
        <v/>
      </c>
      <c r="T2389">
        <f>IMAGE("https://mitra.stanford.edu/kundaje/oak/projects/neuro-variants/variant_position/credible/roussos_2024/variant_figures/roussos_2024.adolescence.Astrocyte/rs10192764_profile_position.png",4,220,900)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-0.0155723696</v>
      </c>
      <c r="G2390" t="n">
        <v>0.6250575247121329</v>
      </c>
      <c r="H2390" t="n">
        <v>0.0267225431685111</v>
      </c>
      <c r="I2390" t="n">
        <v>0.0491535543952247</v>
      </c>
      <c r="J2390" t="n">
        <v>0.2102394445598314</v>
      </c>
      <c r="K2390" t="n">
        <v>0.1938479429642464</v>
      </c>
      <c r="L2390" t="b">
        <v>0</v>
      </c>
      <c r="M2390" t="b">
        <v>0</v>
      </c>
      <c r="N2390" t="inlineStr">
        <is>
          <t>ref</t>
        </is>
      </c>
      <c r="O2390" t="n">
        <v>90</v>
      </c>
      <c r="P2390" t="n">
        <v>0.006195</v>
      </c>
      <c r="Q2390" t="n">
        <v>80</v>
      </c>
      <c r="R2390" t="n">
        <v>0.1274</v>
      </c>
      <c r="S2390">
        <f>IMAGE("https://mitra.stanford.edu/kundaje/oak/projects/neuro-variants/variant_position/credible/roussos_2024/variant_figures/roussos_2024.adolescence.Astrocyte/rs6747286_count_position.png",4,220,900)</f>
        <v/>
      </c>
      <c r="T2390">
        <f>IMAGE("https://mitra.stanford.edu/kundaje/oak/projects/neuro-variants/variant_position/credible/roussos_2024/variant_figures/roussos_2024.adolescence.Astrocyte/rs6747286_profile_position.png",4,220,900)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0.0426809836</v>
      </c>
      <c r="G2391" t="n">
        <v>0.2917145952427387</v>
      </c>
      <c r="H2391" t="n">
        <v>0.0122284788016697</v>
      </c>
      <c r="I2391" t="n">
        <v>0.5337773754167296</v>
      </c>
      <c r="J2391" t="n">
        <v>0.0162782244904014</v>
      </c>
      <c r="K2391" t="n">
        <v>0.6155333341450523</v>
      </c>
      <c r="L2391" t="b">
        <v>0</v>
      </c>
      <c r="M2391" t="b">
        <v>0</v>
      </c>
      <c r="N2391" t="inlineStr">
        <is>
          <t>alt</t>
        </is>
      </c>
      <c r="O2391" t="n">
        <v>100</v>
      </c>
      <c r="P2391" t="n">
        <v>0.0307</v>
      </c>
      <c r="Q2391" t="n">
        <v>100</v>
      </c>
      <c r="R2391" t="n">
        <v>0.1229</v>
      </c>
      <c r="S2391">
        <f>IMAGE("https://mitra.stanford.edu/kundaje/oak/projects/neuro-variants/variant_position/credible/roussos_2024/variant_figures/roussos_2024.adolescence.Astrocyte/rs1962550_count_position.png",4,220,900)</f>
        <v/>
      </c>
      <c r="T2391">
        <f>IMAGE("https://mitra.stanford.edu/kundaje/oak/projects/neuro-variants/variant_position/credible/roussos_2024/variant_figures/roussos_2024.adolescence.Astrocyte/rs1962550_profile_position.png",4,220,900)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0.066910124</v>
      </c>
      <c r="G2392" t="n">
        <v>0.168127692543597</v>
      </c>
      <c r="H2392" t="n">
        <v>0.0180262543791961</v>
      </c>
      <c r="I2392" t="n">
        <v>0.1912887629064788</v>
      </c>
      <c r="J2392" t="n">
        <v>0.5112883126131205</v>
      </c>
      <c r="K2392" t="n">
        <v>0.0520625671985002</v>
      </c>
      <c r="L2392" t="b">
        <v>0</v>
      </c>
      <c r="M2392" t="b">
        <v>0</v>
      </c>
      <c r="N2392" t="inlineStr">
        <is>
          <t>alt</t>
        </is>
      </c>
      <c r="O2392" t="n">
        <v>100</v>
      </c>
      <c r="P2392" t="n">
        <v>0.04218</v>
      </c>
      <c r="Q2392" t="n">
        <v>100</v>
      </c>
      <c r="R2392" t="n">
        <v>0.3481</v>
      </c>
      <c r="S2392">
        <f>IMAGE("https://mitra.stanford.edu/kundaje/oak/projects/neuro-variants/variant_position/credible/roussos_2024/variant_figures/roussos_2024.adolescence.Astrocyte/rs13031349_count_position.png",4,220,900)</f>
        <v/>
      </c>
      <c r="T2392">
        <f>IMAGE("https://mitra.stanford.edu/kundaje/oak/projects/neuro-variants/variant_position/credible/roussos_2024/variant_figures/roussos_2024.adolescence.Astrocyte/rs13031349_profile_position.png",4,220,900)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-0.0014566514599999</v>
      </c>
      <c r="G2393" t="n">
        <v>0.5524900041528056</v>
      </c>
      <c r="H2393" t="n">
        <v>0.009486193066050299</v>
      </c>
      <c r="I2393" t="n">
        <v>0.7967491740934696</v>
      </c>
      <c r="J2393" t="n">
        <v>0.4774604634602261</v>
      </c>
      <c r="K2393" t="n">
        <v>0.0608653745499202</v>
      </c>
      <c r="L2393" t="b">
        <v>0</v>
      </c>
      <c r="M2393" t="b">
        <v>0</v>
      </c>
      <c r="N2393" t="inlineStr">
        <is>
          <t>ref</t>
        </is>
      </c>
      <c r="O2393" t="n">
        <v>100</v>
      </c>
      <c r="P2393" t="n">
        <v>0.0747</v>
      </c>
      <c r="Q2393" t="n">
        <v>30</v>
      </c>
      <c r="R2393" t="n">
        <v>0.0598</v>
      </c>
      <c r="S2393">
        <f>IMAGE("https://mitra.stanford.edu/kundaje/oak/projects/neuro-variants/variant_position/credible/roussos_2024/variant_figures/roussos_2024.adolescence.Astrocyte/rs3738994_count_position.png",4,220,900)</f>
        <v/>
      </c>
      <c r="T2393">
        <f>IMAGE("https://mitra.stanford.edu/kundaje/oak/projects/neuro-variants/variant_position/credible/roussos_2024/variant_figures/roussos_2024.adolescence.Astrocyte/rs3738994_profile_position.png",4,220,900)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-0.166416228</v>
      </c>
      <c r="G2394" t="n">
        <v>0.0282223440809739</v>
      </c>
      <c r="H2394" t="n">
        <v>0.0239187565100748</v>
      </c>
      <c r="I2394" t="n">
        <v>0.0738496384281031</v>
      </c>
      <c r="J2394" t="n">
        <v>0.4726337418034003</v>
      </c>
      <c r="K2394" t="n">
        <v>0.0626300466517301</v>
      </c>
      <c r="L2394" t="b">
        <v>0</v>
      </c>
      <c r="M2394" t="b">
        <v>0</v>
      </c>
      <c r="N2394" t="inlineStr">
        <is>
          <t>ref</t>
        </is>
      </c>
      <c r="O2394" t="n">
        <v>30</v>
      </c>
      <c r="P2394" t="n">
        <v>0.06726</v>
      </c>
      <c r="Q2394" t="n">
        <v>-100</v>
      </c>
      <c r="R2394" t="n">
        <v>0.1296</v>
      </c>
      <c r="S2394">
        <f>IMAGE("https://mitra.stanford.edu/kundaje/oak/projects/neuro-variants/variant_position/credible/roussos_2024/variant_figures/roussos_2024.adolescence.Astrocyte/rs3738993_count_position.png",4,220,900)</f>
        <v/>
      </c>
      <c r="T2394">
        <f>IMAGE("https://mitra.stanford.edu/kundaje/oak/projects/neuro-variants/variant_position/credible/roussos_2024/variant_figures/roussos_2024.adolescence.Astrocyte/rs3738993_profile_position.png",4,220,900)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-0.0608927764</v>
      </c>
      <c r="G2395" t="n">
        <v>0.1862915970703784</v>
      </c>
      <c r="H2395" t="n">
        <v>0.0156928116714165</v>
      </c>
      <c r="I2395" t="n">
        <v>0.2998403190992692</v>
      </c>
      <c r="J2395" t="n">
        <v>0.1908020057561641</v>
      </c>
      <c r="K2395" t="n">
        <v>0.212696471726348</v>
      </c>
      <c r="L2395" t="b">
        <v>0</v>
      </c>
      <c r="M2395" t="b">
        <v>0</v>
      </c>
      <c r="N2395" t="inlineStr">
        <is>
          <t>ref</t>
        </is>
      </c>
      <c r="O2395" t="n">
        <v>100</v>
      </c>
      <c r="P2395" t="n">
        <v>0.08234</v>
      </c>
      <c r="Q2395" t="n">
        <v>100</v>
      </c>
      <c r="R2395" t="n">
        <v>0.1925</v>
      </c>
      <c r="S2395">
        <f>IMAGE("https://mitra.stanford.edu/kundaje/oak/projects/neuro-variants/variant_position/credible/roussos_2024/variant_figures/roussos_2024.adolescence.Astrocyte/rs12053257_count_position.png",4,220,900)</f>
        <v/>
      </c>
      <c r="T2395">
        <f>IMAGE("https://mitra.stanford.edu/kundaje/oak/projects/neuro-variants/variant_position/credible/roussos_2024/variant_figures/roussos_2024.adolescence.Astrocyte/rs12053257_profile_position.png",4,220,900)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-0.0150330017718</v>
      </c>
      <c r="G2396" t="n">
        <v>0.6611755817918806</v>
      </c>
      <c r="H2396" t="n">
        <v>0.0097341818225607</v>
      </c>
      <c r="I2396" t="n">
        <v>0.7543333972332441</v>
      </c>
      <c r="J2396" t="n">
        <v>0.524300507373231</v>
      </c>
      <c r="K2396" t="n">
        <v>0.0500440080568184</v>
      </c>
      <c r="L2396" t="b">
        <v>0</v>
      </c>
      <c r="M2396" t="b">
        <v>0</v>
      </c>
      <c r="N2396" t="inlineStr">
        <is>
          <t>ref</t>
        </is>
      </c>
      <c r="O2396" t="n">
        <v>100</v>
      </c>
      <c r="P2396" t="n">
        <v>0.078</v>
      </c>
      <c r="Q2396" t="n">
        <v>100</v>
      </c>
      <c r="R2396" t="n">
        <v>0.2168</v>
      </c>
      <c r="S2396">
        <f>IMAGE("https://mitra.stanford.edu/kundaje/oak/projects/neuro-variants/variant_position/credible/roussos_2024/variant_figures/roussos_2024.adolescence.Astrocyte/rs2123511_count_position.png",4,220,900)</f>
        <v/>
      </c>
      <c r="T2396">
        <f>IMAGE("https://mitra.stanford.edu/kundaje/oak/projects/neuro-variants/variant_position/credible/roussos_2024/variant_figures/roussos_2024.adolescence.Astrocyte/rs2123511_profile_position.png",4,220,900)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0.09746272419999991</v>
      </c>
      <c r="G2397" t="n">
        <v>0.0815198155305175</v>
      </c>
      <c r="H2397" t="n">
        <v>0.0166419800386159</v>
      </c>
      <c r="I2397" t="n">
        <v>0.2417250150810834</v>
      </c>
      <c r="J2397" t="n">
        <v>0.1182327982672165</v>
      </c>
      <c r="K2397" t="n">
        <v>0.3062355032264002</v>
      </c>
      <c r="L2397" t="b">
        <v>0</v>
      </c>
      <c r="M2397" t="b">
        <v>0</v>
      </c>
      <c r="N2397" t="inlineStr">
        <is>
          <t>alt</t>
        </is>
      </c>
      <c r="O2397" t="n">
        <v>80</v>
      </c>
      <c r="P2397" t="n">
        <v>0.00322</v>
      </c>
      <c r="Q2397" t="n">
        <v>0</v>
      </c>
      <c r="R2397" t="n">
        <v>0</v>
      </c>
      <c r="S2397">
        <f>IMAGE("https://mitra.stanford.edu/kundaje/oak/projects/neuro-variants/variant_position/credible/roussos_2024/variant_figures/roussos_2024.adolescence.Astrocyte/rs11692136_count_position.png",4,220,900)</f>
        <v/>
      </c>
      <c r="T2397">
        <f>IMAGE("https://mitra.stanford.edu/kundaje/oak/projects/neuro-variants/variant_position/credible/roussos_2024/variant_figures/roussos_2024.adolescence.Astrocyte/rs11692136_profile_position.png",4,220,900)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-0.0230027486</v>
      </c>
      <c r="G2398" t="n">
        <v>0.5011113207511949</v>
      </c>
      <c r="H2398" t="n">
        <v>0.0110458833368517</v>
      </c>
      <c r="I2398" t="n">
        <v>0.6413752041069896</v>
      </c>
      <c r="J2398" t="n">
        <v>0.0787222205738361</v>
      </c>
      <c r="K2398" t="n">
        <v>0.3701583342445895</v>
      </c>
      <c r="L2398" t="b">
        <v>0</v>
      </c>
      <c r="M2398" t="b">
        <v>0</v>
      </c>
      <c r="N2398" t="inlineStr">
        <is>
          <t>ref</t>
        </is>
      </c>
      <c r="O2398" t="n">
        <v>40</v>
      </c>
      <c r="P2398" t="n">
        <v>0.0004501</v>
      </c>
      <c r="Q2398" t="n">
        <v>-10</v>
      </c>
      <c r="R2398" t="n">
        <v>0.02054</v>
      </c>
      <c r="S2398">
        <f>IMAGE("https://mitra.stanford.edu/kundaje/oak/projects/neuro-variants/variant_position/credible/roussos_2024/variant_figures/roussos_2024.adolescence.Astrocyte/rs876739_count_position.png",4,220,900)</f>
        <v/>
      </c>
      <c r="T2398">
        <f>IMAGE("https://mitra.stanford.edu/kundaje/oak/projects/neuro-variants/variant_position/credible/roussos_2024/variant_figures/roussos_2024.adolescence.Astrocyte/rs876739_profile_position.png",4,220,900)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-0.09647360939999999</v>
      </c>
      <c r="G2399" t="n">
        <v>0.0934425903434698</v>
      </c>
      <c r="H2399" t="n">
        <v>0.0169104231628389</v>
      </c>
      <c r="I2399" t="n">
        <v>0.2326057957961878</v>
      </c>
      <c r="J2399" t="n">
        <v>0.3849100970240037</v>
      </c>
      <c r="K2399" t="n">
        <v>0.09323250087791959</v>
      </c>
      <c r="L2399" t="b">
        <v>0</v>
      </c>
      <c r="M2399" t="b">
        <v>0</v>
      </c>
      <c r="N2399" t="inlineStr">
        <is>
          <t>ref</t>
        </is>
      </c>
      <c r="O2399" t="n">
        <v>100</v>
      </c>
      <c r="P2399" t="n">
        <v>0.008880000000000001</v>
      </c>
      <c r="Q2399" t="n">
        <v>100</v>
      </c>
      <c r="R2399" t="n">
        <v>0.1523</v>
      </c>
      <c r="S2399">
        <f>IMAGE("https://mitra.stanford.edu/kundaje/oak/projects/neuro-variants/variant_position/credible/roussos_2024/variant_figures/roussos_2024.adolescence.Astrocyte/rs3754659_count_position.png",4,220,900)</f>
        <v/>
      </c>
      <c r="T2399">
        <f>IMAGE("https://mitra.stanford.edu/kundaje/oak/projects/neuro-variants/variant_position/credible/roussos_2024/variant_figures/roussos_2024.adolescence.Astrocyte/rs3754659_profile_position.png",4,220,900)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0.186494962</v>
      </c>
      <c r="G2400" t="n">
        <v>0.0211560087770243</v>
      </c>
      <c r="H2400" t="n">
        <v>0.0209621516970625</v>
      </c>
      <c r="I2400" t="n">
        <v>0.1182991043328298</v>
      </c>
      <c r="J2400" t="n">
        <v>0.4299157345043468</v>
      </c>
      <c r="K2400" t="n">
        <v>0.0769301079301191</v>
      </c>
      <c r="L2400" t="b">
        <v>0</v>
      </c>
      <c r="M2400" t="b">
        <v>0</v>
      </c>
      <c r="N2400" t="inlineStr">
        <is>
          <t>alt</t>
        </is>
      </c>
      <c r="O2400" t="n">
        <v>-10</v>
      </c>
      <c r="P2400" t="n">
        <v>0.002686</v>
      </c>
      <c r="Q2400" t="n">
        <v>-15</v>
      </c>
      <c r="R2400" t="n">
        <v>0.01611</v>
      </c>
      <c r="S2400">
        <f>IMAGE("https://mitra.stanford.edu/kundaje/oak/projects/neuro-variants/variant_position/credible/roussos_2024/variant_figures/roussos_2024.adolescence.Astrocyte/rs2247983_count_position.png",4,220,900)</f>
        <v/>
      </c>
      <c r="T2400">
        <f>IMAGE("https://mitra.stanford.edu/kundaje/oak/projects/neuro-variants/variant_position/credible/roussos_2024/variant_figures/roussos_2024.adolescence.Astrocyte/rs2247983_profile_position.png",4,220,900)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0.0204159769</v>
      </c>
      <c r="G2401" t="n">
        <v>0.5244562624075626</v>
      </c>
      <c r="H2401" t="n">
        <v>0.0070998267563079</v>
      </c>
      <c r="I2401" t="n">
        <v>0.964638334370406</v>
      </c>
      <c r="J2401" t="n">
        <v>0.0313814793935257</v>
      </c>
      <c r="K2401" t="n">
        <v>0.5082893079014906</v>
      </c>
      <c r="L2401" t="b">
        <v>0</v>
      </c>
      <c r="M2401" t="b">
        <v>0</v>
      </c>
      <c r="N2401" t="inlineStr">
        <is>
          <t>alt</t>
        </is>
      </c>
      <c r="O2401" t="n">
        <v>-55</v>
      </c>
      <c r="P2401" t="n">
        <v>0.00673</v>
      </c>
      <c r="Q2401" t="n">
        <v>-100</v>
      </c>
      <c r="R2401" t="n">
        <v>0.1521</v>
      </c>
      <c r="S2401">
        <f>IMAGE("https://mitra.stanford.edu/kundaje/oak/projects/neuro-variants/variant_position/credible/roussos_2024/variant_figures/roussos_2024.adolescence.Astrocyte/rs6129108_count_position.png",4,220,900)</f>
        <v/>
      </c>
      <c r="T2401">
        <f>IMAGE("https://mitra.stanford.edu/kundaje/oak/projects/neuro-variants/variant_position/credible/roussos_2024/variant_figures/roussos_2024.adolescence.Astrocyte/rs6129108_profile_position.png",4,220,900)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0.01095633</v>
      </c>
      <c r="G2402" t="n">
        <v>0.405706197380319</v>
      </c>
      <c r="H2402" t="n">
        <v>0.0176557279695299</v>
      </c>
      <c r="I2402" t="n">
        <v>0.2086141986828544</v>
      </c>
      <c r="J2402" t="n">
        <v>0.5473845058303415</v>
      </c>
      <c r="K2402" t="n">
        <v>0.0442106902179219</v>
      </c>
      <c r="L2402" t="b">
        <v>0</v>
      </c>
      <c r="M2402" t="b">
        <v>0</v>
      </c>
      <c r="N2402" t="inlineStr">
        <is>
          <t>alt</t>
        </is>
      </c>
      <c r="O2402" t="n">
        <v>-100</v>
      </c>
      <c r="P2402" t="n">
        <v>0.003998</v>
      </c>
      <c r="Q2402" t="n">
        <v>10</v>
      </c>
      <c r="R2402" t="n">
        <v>0.0315</v>
      </c>
      <c r="S2402">
        <f>IMAGE("https://mitra.stanford.edu/kundaje/oak/projects/neuro-variants/variant_position/credible/roussos_2024/variant_figures/roussos_2024.adolescence.Astrocyte/rs6129111_count_position.png",4,220,900)</f>
        <v/>
      </c>
      <c r="T2402">
        <f>IMAGE("https://mitra.stanford.edu/kundaje/oak/projects/neuro-variants/variant_position/credible/roussos_2024/variant_figures/roussos_2024.adolescence.Astrocyte/rs6129111_profile_position.png",4,220,900)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-0.0410758509</v>
      </c>
      <c r="G2403" t="n">
        <v>0.309270233992458</v>
      </c>
      <c r="H2403" t="n">
        <v>0.0190391007655304</v>
      </c>
      <c r="I2403" t="n">
        <v>0.1589590959622911</v>
      </c>
      <c r="J2403" t="n">
        <v>0.1749844227516837</v>
      </c>
      <c r="K2403" t="n">
        <v>0.2265242080140752</v>
      </c>
      <c r="L2403" t="b">
        <v>0</v>
      </c>
      <c r="M2403" t="b">
        <v>0</v>
      </c>
      <c r="N2403" t="inlineStr">
        <is>
          <t>ref</t>
        </is>
      </c>
      <c r="O2403" t="n">
        <v>-100</v>
      </c>
      <c r="P2403" t="n">
        <v>0.004463</v>
      </c>
      <c r="Q2403" t="n">
        <v>50</v>
      </c>
      <c r="R2403" t="n">
        <v>0.07153</v>
      </c>
      <c r="S2403">
        <f>IMAGE("https://mitra.stanford.edu/kundaje/oak/projects/neuro-variants/variant_position/credible/roussos_2024/variant_figures/roussos_2024.adolescence.Astrocyte/rs1006945_count_position.png",4,220,900)</f>
        <v/>
      </c>
      <c r="T2403">
        <f>IMAGE("https://mitra.stanford.edu/kundaje/oak/projects/neuro-variants/variant_position/credible/roussos_2024/variant_figures/roussos_2024.adolescence.Astrocyte/rs1006945_profile_position.png",4,220,900)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-0.1237251306</v>
      </c>
      <c r="G2404" t="n">
        <v>0.06335576175823809</v>
      </c>
      <c r="H2404" t="n">
        <v>0.019262833712675</v>
      </c>
      <c r="I2404" t="n">
        <v>0.1611629000792769</v>
      </c>
      <c r="J2404" t="n">
        <v>0.2264835474586831</v>
      </c>
      <c r="K2404" t="n">
        <v>0.1852475577142046</v>
      </c>
      <c r="L2404" t="b">
        <v>0</v>
      </c>
      <c r="M2404" t="b">
        <v>0</v>
      </c>
      <c r="N2404" t="inlineStr">
        <is>
          <t>ref</t>
        </is>
      </c>
      <c r="O2404" t="n">
        <v>30</v>
      </c>
      <c r="P2404" t="n">
        <v>0.004227</v>
      </c>
      <c r="Q2404" t="n">
        <v>30</v>
      </c>
      <c r="R2404" t="n">
        <v>0.08690000000000001</v>
      </c>
      <c r="S2404">
        <f>IMAGE("https://mitra.stanford.edu/kundaje/oak/projects/neuro-variants/variant_position/credible/roussos_2024/variant_figures/roussos_2024.adolescence.Astrocyte/rs4812319_count_position.png",4,220,900)</f>
        <v/>
      </c>
      <c r="T2404">
        <f>IMAGE("https://mitra.stanford.edu/kundaje/oak/projects/neuro-variants/variant_position/credible/roussos_2024/variant_figures/roussos_2024.adolescence.Astrocyte/rs4812319_profile_position.png",4,220,900)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-0.0688068093999999</v>
      </c>
      <c r="G2405" t="n">
        <v>0.1632035436558156</v>
      </c>
      <c r="H2405" t="n">
        <v>0.0154237534516945</v>
      </c>
      <c r="I2405" t="n">
        <v>0.2935701462121268</v>
      </c>
      <c r="J2405" t="n">
        <v>0.2618260985668931</v>
      </c>
      <c r="K2405" t="n">
        <v>0.1557785185075101</v>
      </c>
      <c r="L2405" t="b">
        <v>0</v>
      </c>
      <c r="M2405" t="b">
        <v>0</v>
      </c>
      <c r="N2405" t="inlineStr">
        <is>
          <t>ref</t>
        </is>
      </c>
      <c r="O2405" t="n">
        <v>-90</v>
      </c>
      <c r="P2405" t="n">
        <v>0.01624</v>
      </c>
      <c r="Q2405" t="n">
        <v>-20</v>
      </c>
      <c r="R2405" t="n">
        <v>0.1011</v>
      </c>
      <c r="S2405">
        <f>IMAGE("https://mitra.stanford.edu/kundaje/oak/projects/neuro-variants/variant_position/credible/roussos_2024/variant_figures/roussos_2024.adolescence.Astrocyte/rs6028167_count_position.png",4,220,900)</f>
        <v/>
      </c>
      <c r="T2405">
        <f>IMAGE("https://mitra.stanford.edu/kundaje/oak/projects/neuro-variants/variant_position/credible/roussos_2024/variant_figures/roussos_2024.adolescence.Astrocyte/rs6028167_profile_position.png",4,220,900)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-0.0197053664</v>
      </c>
      <c r="G2406" t="n">
        <v>0.5526963337766596</v>
      </c>
      <c r="H2406" t="n">
        <v>0.0101763929736735</v>
      </c>
      <c r="I2406" t="n">
        <v>0.7473567159647584</v>
      </c>
      <c r="J2406" t="n">
        <v>0.0018692697979407</v>
      </c>
      <c r="K2406" t="n">
        <v>0.8257613163414366</v>
      </c>
      <c r="L2406" t="b">
        <v>0</v>
      </c>
      <c r="M2406" t="b">
        <v>0</v>
      </c>
      <c r="N2406" t="inlineStr">
        <is>
          <t>ref</t>
        </is>
      </c>
      <c r="O2406" t="n">
        <v>0</v>
      </c>
      <c r="P2406" t="n">
        <v>0</v>
      </c>
      <c r="Q2406" t="n">
        <v>70</v>
      </c>
      <c r="R2406" t="n">
        <v>0.1461</v>
      </c>
      <c r="S2406">
        <f>IMAGE("https://mitra.stanford.edu/kundaje/oak/projects/neuro-variants/variant_position/credible/roussos_2024/variant_figures/roussos_2024.adolescence.Astrocyte/rs4812324_count_position.png",4,220,900)</f>
        <v/>
      </c>
      <c r="T2406">
        <f>IMAGE("https://mitra.stanford.edu/kundaje/oak/projects/neuro-variants/variant_position/credible/roussos_2024/variant_figures/roussos_2024.adolescence.Astrocyte/rs4812324_profile_position.png",4,220,900)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-0.116398073</v>
      </c>
      <c r="G2407" t="n">
        <v>0.0614809008213658</v>
      </c>
      <c r="H2407" t="n">
        <v>0.0244091930313802</v>
      </c>
      <c r="I2407" t="n">
        <v>0.0688052175009035</v>
      </c>
      <c r="J2407" t="n">
        <v>0.430061863929027</v>
      </c>
      <c r="K2407" t="n">
        <v>0.07741072862534321</v>
      </c>
      <c r="L2407" t="b">
        <v>0</v>
      </c>
      <c r="M2407" t="b">
        <v>0</v>
      </c>
      <c r="N2407" t="inlineStr">
        <is>
          <t>ref</t>
        </is>
      </c>
      <c r="O2407" t="n">
        <v>100</v>
      </c>
      <c r="P2407" t="n">
        <v>0.01538</v>
      </c>
      <c r="Q2407" t="n">
        <v>100</v>
      </c>
      <c r="R2407" t="n">
        <v>0.3848</v>
      </c>
      <c r="S2407">
        <f>IMAGE("https://mitra.stanford.edu/kundaje/oak/projects/neuro-variants/variant_position/credible/roussos_2024/variant_figures/roussos_2024.adolescence.Astrocyte/rs2425614_count_position.png",4,220,900)</f>
        <v/>
      </c>
      <c r="T2407">
        <f>IMAGE("https://mitra.stanford.edu/kundaje/oak/projects/neuro-variants/variant_position/credible/roussos_2024/variant_figures/roussos_2024.adolescence.Astrocyte/rs2425614_profile_position.png",4,220,900)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0.0440059016</v>
      </c>
      <c r="G2408" t="n">
        <v>0.2829902654826473</v>
      </c>
      <c r="H2408" t="n">
        <v>0.0100702267797808</v>
      </c>
      <c r="I2408" t="n">
        <v>0.7526488209779186</v>
      </c>
      <c r="J2408" t="n">
        <v>0.0302057680325193</v>
      </c>
      <c r="K2408" t="n">
        <v>0.5150831976608609</v>
      </c>
      <c r="L2408" t="b">
        <v>0</v>
      </c>
      <c r="M2408" t="b">
        <v>0</v>
      </c>
      <c r="N2408" t="inlineStr">
        <is>
          <t>alt</t>
        </is>
      </c>
      <c r="O2408" t="n">
        <v>0</v>
      </c>
      <c r="P2408" t="n">
        <v>0</v>
      </c>
      <c r="Q2408" t="n">
        <v>-20</v>
      </c>
      <c r="R2408" t="n">
        <v>0.06042</v>
      </c>
      <c r="S2408">
        <f>IMAGE("https://mitra.stanford.edu/kundaje/oak/projects/neuro-variants/variant_position/credible/roussos_2024/variant_figures/roussos_2024.adolescence.Astrocyte/rs926288_count_position.png",4,220,900)</f>
        <v/>
      </c>
      <c r="T2408">
        <f>IMAGE("https://mitra.stanford.edu/kundaje/oak/projects/neuro-variants/variant_position/credible/roussos_2024/variant_figures/roussos_2024.adolescence.Astrocyte/rs926288_profile_position.png",4,220,900)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0.0393962852</v>
      </c>
      <c r="G2409" t="n">
        <v>0.2980388334527912</v>
      </c>
      <c r="H2409" t="n">
        <v>0.014900583823267</v>
      </c>
      <c r="I2409" t="n">
        <v>0.3276139558376943</v>
      </c>
      <c r="J2409" t="n">
        <v>0.1514902234222472</v>
      </c>
      <c r="K2409" t="n">
        <v>0.2536625146082744</v>
      </c>
      <c r="L2409" t="b">
        <v>0</v>
      </c>
      <c r="M2409" t="b">
        <v>0</v>
      </c>
      <c r="N2409" t="inlineStr">
        <is>
          <t>alt</t>
        </is>
      </c>
      <c r="O2409" t="n">
        <v>-100</v>
      </c>
      <c r="P2409" t="n">
        <v>0.010704</v>
      </c>
      <c r="Q2409" t="n">
        <v>-100</v>
      </c>
      <c r="R2409" t="n">
        <v>0.1464</v>
      </c>
      <c r="S2409">
        <f>IMAGE("https://mitra.stanford.edu/kundaje/oak/projects/neuro-variants/variant_position/credible/roussos_2024/variant_figures/roussos_2024.adolescence.Astrocyte/rs3950190_count_position.png",4,220,900)</f>
        <v/>
      </c>
      <c r="T2409">
        <f>IMAGE("https://mitra.stanford.edu/kundaje/oak/projects/neuro-variants/variant_position/credible/roussos_2024/variant_figures/roussos_2024.adolescence.Astrocyte/rs3950190_profile_position.png",4,220,900)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0.052449574</v>
      </c>
      <c r="G2410" t="n">
        <v>0.2276782870489133</v>
      </c>
      <c r="H2410" t="n">
        <v>0.0134693558145781</v>
      </c>
      <c r="I2410" t="n">
        <v>0.4275073221525106</v>
      </c>
      <c r="J2410" t="n">
        <v>0.07684034062249639</v>
      </c>
      <c r="K2410" t="n">
        <v>0.3799697049496184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0.01614</v>
      </c>
      <c r="Q2410" t="n">
        <v>100</v>
      </c>
      <c r="R2410" t="n">
        <v>0.0442</v>
      </c>
      <c r="S2410">
        <f>IMAGE("https://mitra.stanford.edu/kundaje/oak/projects/neuro-variants/variant_position/credible/roussos_2024/variant_figures/roussos_2024.adolescence.Astrocyte/rs1569440_count_position.png",4,220,900)</f>
        <v/>
      </c>
      <c r="T2410">
        <f>IMAGE("https://mitra.stanford.edu/kundaje/oak/projects/neuro-variants/variant_position/credible/roussos_2024/variant_figures/roussos_2024.adolescence.Astrocyte/rs1569440_profile_position.png",4,220,900)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-0.0044440428</v>
      </c>
      <c r="G2411" t="n">
        <v>0.7066880481625319</v>
      </c>
      <c r="H2411" t="n">
        <v>0.0266774898595841</v>
      </c>
      <c r="I2411" t="n">
        <v>0.0496309174306944</v>
      </c>
      <c r="J2411" t="n">
        <v>0.0011185947838471</v>
      </c>
      <c r="K2411" t="n">
        <v>0.8953739482064399</v>
      </c>
      <c r="L2411" t="b">
        <v>0</v>
      </c>
      <c r="M2411" t="b">
        <v>0</v>
      </c>
      <c r="N2411" t="inlineStr">
        <is>
          <t>ref</t>
        </is>
      </c>
      <c r="O2411" t="n">
        <v>-80</v>
      </c>
      <c r="P2411" t="n">
        <v>0.0934</v>
      </c>
      <c r="Q2411" t="n">
        <v>60</v>
      </c>
      <c r="R2411" t="n">
        <v>0.0592</v>
      </c>
      <c r="S2411">
        <f>IMAGE("https://mitra.stanford.edu/kundaje/oak/projects/neuro-variants/variant_position/credible/roussos_2024/variant_figures/roussos_2024.adolescence.Astrocyte/rs6017460_count_position.png",4,220,900)</f>
        <v/>
      </c>
      <c r="T2411">
        <f>IMAGE("https://mitra.stanford.edu/kundaje/oak/projects/neuro-variants/variant_position/credible/roussos_2024/variant_figures/roussos_2024.adolescence.Astrocyte/rs6017460_profile_position.png",4,220,900)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0.00136144158</v>
      </c>
      <c r="G2412" t="n">
        <v>0.7697346239399089</v>
      </c>
      <c r="H2412" t="n">
        <v>0.0167355643426871</v>
      </c>
      <c r="I2412" t="n">
        <v>0.24462492759447</v>
      </c>
      <c r="J2412" t="n">
        <v>0.2669740082485238</v>
      </c>
      <c r="K2412" t="n">
        <v>0.1548416225245452</v>
      </c>
      <c r="L2412" t="b">
        <v>0</v>
      </c>
      <c r="M2412" t="b">
        <v>0</v>
      </c>
      <c r="N2412" t="inlineStr">
        <is>
          <t>alt</t>
        </is>
      </c>
      <c r="O2412" t="n">
        <v>-60</v>
      </c>
      <c r="P2412" t="n">
        <v>0.01282</v>
      </c>
      <c r="Q2412" t="n">
        <v>-60</v>
      </c>
      <c r="R2412" t="n">
        <v>0.1794</v>
      </c>
      <c r="S2412">
        <f>IMAGE("https://mitra.stanford.edu/kundaje/oak/projects/neuro-variants/variant_position/credible/roussos_2024/variant_figures/roussos_2024.adolescence.Astrocyte/rs12624433_count_position.png",4,220,900)</f>
        <v/>
      </c>
      <c r="T2412">
        <f>IMAGE("https://mitra.stanford.edu/kundaje/oak/projects/neuro-variants/variant_position/credible/roussos_2024/variant_figures/roussos_2024.adolescence.Astrocyte/rs12624433_profile_position.png",4,220,900)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0.022267029</v>
      </c>
      <c r="G2413" t="n">
        <v>0.5043405228187645</v>
      </c>
      <c r="H2413" t="n">
        <v>0.0120912701153929</v>
      </c>
      <c r="I2413" t="n">
        <v>0.5507954336547819</v>
      </c>
      <c r="J2413" t="n">
        <v>0.0004695427706732</v>
      </c>
      <c r="K2413" t="n">
        <v>0.9271222468182556</v>
      </c>
      <c r="L2413" t="b">
        <v>0</v>
      </c>
      <c r="M2413" t="b">
        <v>0</v>
      </c>
      <c r="N2413" t="inlineStr">
        <is>
          <t>alt</t>
        </is>
      </c>
      <c r="O2413" t="n">
        <v>-85</v>
      </c>
      <c r="P2413" t="n">
        <v>0.010185</v>
      </c>
      <c r="Q2413" t="n">
        <v>20</v>
      </c>
      <c r="R2413" t="n">
        <v>0.0703</v>
      </c>
      <c r="S2413">
        <f>IMAGE("https://mitra.stanford.edu/kundaje/oak/projects/neuro-variants/variant_position/credible/roussos_2024/variant_figures/roussos_2024.adolescence.Astrocyte/rs4578918_count_position.png",4,220,900)</f>
        <v/>
      </c>
      <c r="T2413">
        <f>IMAGE("https://mitra.stanford.edu/kundaje/oak/projects/neuro-variants/variant_position/credible/roussos_2024/variant_figures/roussos_2024.adolescence.Astrocyte/rs4578918_profile_position.png",4,220,900)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-0.0368162602</v>
      </c>
      <c r="G2414" t="n">
        <v>0.3325591953075295</v>
      </c>
      <c r="H2414" t="n">
        <v>0.0183222508282277</v>
      </c>
      <c r="I2414" t="n">
        <v>0.180584414272004</v>
      </c>
      <c r="J2414" t="n">
        <v>0.0115776043675637</v>
      </c>
      <c r="K2414" t="n">
        <v>0.6492161756018734</v>
      </c>
      <c r="L2414" t="b">
        <v>0</v>
      </c>
      <c r="M2414" t="b">
        <v>0</v>
      </c>
      <c r="N2414" t="inlineStr">
        <is>
          <t>ref</t>
        </is>
      </c>
      <c r="O2414" t="n">
        <v>100</v>
      </c>
      <c r="P2414" t="n">
        <v>0.002758</v>
      </c>
      <c r="Q2414" t="n">
        <v>-20</v>
      </c>
      <c r="R2414" t="n">
        <v>0.04297</v>
      </c>
      <c r="S2414">
        <f>IMAGE("https://mitra.stanford.edu/kundaje/oak/projects/neuro-variants/variant_position/credible/roussos_2024/variant_figures/roussos_2024.adolescence.Astrocyte/rs6065926_count_position.png",4,220,900)</f>
        <v/>
      </c>
      <c r="T2414">
        <f>IMAGE("https://mitra.stanford.edu/kundaje/oak/projects/neuro-variants/variant_position/credible/roussos_2024/variant_figures/roussos_2024.adolescence.Astrocyte/rs6065926_profile_position.png",4,220,900)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-0.0731643672</v>
      </c>
      <c r="G2415" t="n">
        <v>0.1396053935131744</v>
      </c>
      <c r="H2415" t="n">
        <v>0.0129117164264815</v>
      </c>
      <c r="I2415" t="n">
        <v>0.4641698731841884</v>
      </c>
      <c r="J2415" t="n">
        <v>0.0142242530338545</v>
      </c>
      <c r="K2415" t="n">
        <v>0.6398459982323406</v>
      </c>
      <c r="L2415" t="b">
        <v>0</v>
      </c>
      <c r="M2415" t="b">
        <v>0</v>
      </c>
      <c r="N2415" t="inlineStr">
        <is>
          <t>ref</t>
        </is>
      </c>
      <c r="O2415" t="n">
        <v>85</v>
      </c>
      <c r="P2415" t="n">
        <v>0.00492</v>
      </c>
      <c r="Q2415" t="n">
        <v>0</v>
      </c>
      <c r="R2415" t="n">
        <v>0</v>
      </c>
      <c r="S2415">
        <f>IMAGE("https://mitra.stanford.edu/kundaje/oak/projects/neuro-variants/variant_position/credible/roussos_2024/variant_figures/roussos_2024.adolescence.Astrocyte/rs6074022_count_position.png",4,220,900)</f>
        <v/>
      </c>
      <c r="T2415">
        <f>IMAGE("https://mitra.stanford.edu/kundaje/oak/projects/neuro-variants/variant_position/credible/roussos_2024/variant_figures/roussos_2024.adolescence.Astrocyte/rs6074022_profile_position.png",4,220,900)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0.06331963960000001</v>
      </c>
      <c r="G2416" t="n">
        <v>0.1690040878580632</v>
      </c>
      <c r="H2416" t="n">
        <v>0.0145111946848682</v>
      </c>
      <c r="I2416" t="n">
        <v>0.3504384866530018</v>
      </c>
      <c r="J2416" t="n">
        <v>0.1911031658902768</v>
      </c>
      <c r="K2416" t="n">
        <v>0.2160090186704485</v>
      </c>
      <c r="L2416" t="b">
        <v>0</v>
      </c>
      <c r="M2416" t="b">
        <v>0</v>
      </c>
      <c r="N2416" t="inlineStr">
        <is>
          <t>alt</t>
        </is>
      </c>
      <c r="O2416" t="n">
        <v>-10</v>
      </c>
      <c r="P2416" t="n">
        <v>0.0007296</v>
      </c>
      <c r="Q2416" t="n">
        <v>-80</v>
      </c>
      <c r="R2416" t="n">
        <v>0.1265</v>
      </c>
      <c r="S2416">
        <f>IMAGE("https://mitra.stanford.edu/kundaje/oak/projects/neuro-variants/variant_position/credible/roussos_2024/variant_figures/roussos_2024.adolescence.Astrocyte/rs4810485_count_position.png",4,220,900)</f>
        <v/>
      </c>
      <c r="T2416">
        <f>IMAGE("https://mitra.stanford.edu/kundaje/oak/projects/neuro-variants/variant_position/credible/roussos_2024/variant_figures/roussos_2024.adolescence.Astrocyte/rs4810485_profile_position.png",4,220,900)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0.0126026071</v>
      </c>
      <c r="G2417" t="n">
        <v>0.6548260237103215</v>
      </c>
      <c r="H2417" t="n">
        <v>0.0262207594498583</v>
      </c>
      <c r="I2417" t="n">
        <v>0.0532971789432839</v>
      </c>
      <c r="J2417" t="n">
        <v>0.8316232976292911</v>
      </c>
      <c r="K2417" t="n">
        <v>0.0055158341840574</v>
      </c>
      <c r="L2417" t="b">
        <v>0</v>
      </c>
      <c r="M2417" t="b">
        <v>0</v>
      </c>
      <c r="N2417" t="inlineStr">
        <is>
          <t>alt</t>
        </is>
      </c>
      <c r="O2417" t="n">
        <v>100</v>
      </c>
      <c r="P2417" t="n">
        <v>0.00772</v>
      </c>
      <c r="Q2417" t="n">
        <v>-30</v>
      </c>
      <c r="R2417" t="n">
        <v>0.01834</v>
      </c>
      <c r="S2417">
        <f>IMAGE("https://mitra.stanford.edu/kundaje/oak/projects/neuro-variants/variant_position/credible/roussos_2024/variant_figures/roussos_2024.adolescence.Astrocyte/rs74361372_count_position.png",4,220,900)</f>
        <v/>
      </c>
      <c r="T2417">
        <f>IMAGE("https://mitra.stanford.edu/kundaje/oak/projects/neuro-variants/variant_position/credible/roussos_2024/variant_figures/roussos_2024.adolescence.Astrocyte/rs74361372_profile_position.png",4,220,900)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-0.0111969858</v>
      </c>
      <c r="G2418" t="n">
        <v>0.6392638496731436</v>
      </c>
      <c r="H2418" t="n">
        <v>0.009535005397434</v>
      </c>
      <c r="I2418" t="n">
        <v>0.8005246657879992</v>
      </c>
      <c r="J2418" t="n">
        <v>0.0021355665667744</v>
      </c>
      <c r="K2418" t="n">
        <v>0.8232954086632125</v>
      </c>
      <c r="L2418" t="b">
        <v>0</v>
      </c>
      <c r="M2418" t="b">
        <v>0</v>
      </c>
      <c r="N2418" t="inlineStr">
        <is>
          <t>ref</t>
        </is>
      </c>
      <c r="O2418" t="n">
        <v>-90</v>
      </c>
      <c r="P2418" t="n">
        <v>0.00587</v>
      </c>
      <c r="Q2418" t="n">
        <v>5</v>
      </c>
      <c r="R2418" t="n">
        <v>0.01099</v>
      </c>
      <c r="S2418">
        <f>IMAGE("https://mitra.stanford.edu/kundaje/oak/projects/neuro-variants/variant_position/credible/roussos_2024/variant_figures/roussos_2024.adolescence.Astrocyte/rs6012677_count_position.png",4,220,900)</f>
        <v/>
      </c>
      <c r="T2418">
        <f>IMAGE("https://mitra.stanford.edu/kundaje/oak/projects/neuro-variants/variant_position/credible/roussos_2024/variant_figures/roussos_2024.adolescence.Astrocyte/rs6012677_profile_position.png",4,220,900)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0.0318185411</v>
      </c>
      <c r="G2419" t="n">
        <v>0.3332440144914366</v>
      </c>
      <c r="H2419" t="n">
        <v>0.0111354567996823</v>
      </c>
      <c r="I2419" t="n">
        <v>0.6283248108328299</v>
      </c>
      <c r="J2419" t="n">
        <v>0.014453461116221</v>
      </c>
      <c r="K2419" t="n">
        <v>0.6478043676590006</v>
      </c>
      <c r="L2419" t="b">
        <v>0</v>
      </c>
      <c r="M2419" t="b">
        <v>0</v>
      </c>
      <c r="N2419" t="inlineStr">
        <is>
          <t>alt</t>
        </is>
      </c>
      <c r="O2419" t="n">
        <v>-90</v>
      </c>
      <c r="P2419" t="n">
        <v>0.009766</v>
      </c>
      <c r="Q2419" t="n">
        <v>-100</v>
      </c>
      <c r="R2419" t="n">
        <v>0.2349</v>
      </c>
      <c r="S2419">
        <f>IMAGE("https://mitra.stanford.edu/kundaje/oak/projects/neuro-variants/variant_position/credible/roussos_2024/variant_figures/roussos_2024.adolescence.Astrocyte/rs11696755_count_position.png",4,220,900)</f>
        <v/>
      </c>
      <c r="T2419">
        <f>IMAGE("https://mitra.stanford.edu/kundaje/oak/projects/neuro-variants/variant_position/credible/roussos_2024/variant_figures/roussos_2024.adolescence.Astrocyte/rs11696755_profile_position.png",4,220,900)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-0.0366814858</v>
      </c>
      <c r="G2420" t="n">
        <v>0.360010281155587</v>
      </c>
      <c r="H2420" t="n">
        <v>0.0113134453071506</v>
      </c>
      <c r="I2420" t="n">
        <v>0.6075117927688581</v>
      </c>
      <c r="J2420" t="n">
        <v>0.014957125478444</v>
      </c>
      <c r="K2420" t="n">
        <v>0.6080799675595364</v>
      </c>
      <c r="L2420" t="b">
        <v>0</v>
      </c>
      <c r="M2420" t="b">
        <v>0</v>
      </c>
      <c r="N2420" t="inlineStr">
        <is>
          <t>ref</t>
        </is>
      </c>
      <c r="O2420" t="n">
        <v>45</v>
      </c>
      <c r="P2420" t="n">
        <v>0.00562</v>
      </c>
      <c r="Q2420" t="n">
        <v>-15</v>
      </c>
      <c r="R2420" t="n">
        <v>0.04156</v>
      </c>
      <c r="S2420">
        <f>IMAGE("https://mitra.stanford.edu/kundaje/oak/projects/neuro-variants/variant_position/credible/roussos_2024/variant_figures/roussos_2024.adolescence.Astrocyte/rs6095541_count_position.png",4,220,900)</f>
        <v/>
      </c>
      <c r="T2420">
        <f>IMAGE("https://mitra.stanford.edu/kundaje/oak/projects/neuro-variants/variant_position/credible/roussos_2024/variant_figures/roussos_2024.adolescence.Astrocyte/rs6095541_profile_position.png",4,220,900)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-0.0178900447999999</v>
      </c>
      <c r="G2421" t="n">
        <v>0.5829721241704652</v>
      </c>
      <c r="H2421" t="n">
        <v>0.0420425237876069</v>
      </c>
      <c r="I2421" t="n">
        <v>0.0077861372455528</v>
      </c>
      <c r="J2421" t="n">
        <v>0.1113899356140402</v>
      </c>
      <c r="K2421" t="n">
        <v>0.3079589667124061</v>
      </c>
      <c r="L2421" t="b">
        <v>1</v>
      </c>
      <c r="M2421" t="b">
        <v>1</v>
      </c>
      <c r="N2421" t="inlineStr">
        <is>
          <t>ref</t>
        </is>
      </c>
      <c r="O2421" t="n">
        <v>-65</v>
      </c>
      <c r="P2421" t="n">
        <v>0.02908</v>
      </c>
      <c r="Q2421" t="n">
        <v>-75</v>
      </c>
      <c r="R2421" t="n">
        <v>0.0315</v>
      </c>
      <c r="S2421">
        <f>IMAGE("https://mitra.stanford.edu/kundaje/oak/projects/neuro-variants/variant_position/credible/roussos_2024/variant_figures/roussos_2024.adolescence.Astrocyte/rs5596_count_position.png",4,220,900)</f>
        <v/>
      </c>
      <c r="T2421">
        <f>IMAGE("https://mitra.stanford.edu/kundaje/oak/projects/neuro-variants/variant_position/credible/roussos_2024/variant_figures/roussos_2024.adolescence.Astrocyte/rs5596_profile_position.png",4,220,900)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0.1102615768</v>
      </c>
      <c r="G2422" t="n">
        <v>0.0644100907829005</v>
      </c>
      <c r="H2422" t="n">
        <v>0.0284071236266431</v>
      </c>
      <c r="I2422" t="n">
        <v>0.0409742384070823</v>
      </c>
      <c r="J2422" t="n">
        <v>0.3997759843337388</v>
      </c>
      <c r="K2422" t="n">
        <v>0.0882269202206903</v>
      </c>
      <c r="L2422" t="b">
        <v>0</v>
      </c>
      <c r="M2422" t="b">
        <v>0</v>
      </c>
      <c r="N2422" t="inlineStr">
        <is>
          <t>alt</t>
        </is>
      </c>
      <c r="O2422" t="n">
        <v>100</v>
      </c>
      <c r="P2422" t="n">
        <v>0.078</v>
      </c>
      <c r="Q2422" t="n">
        <v>100</v>
      </c>
      <c r="R2422" t="n">
        <v>0.3389</v>
      </c>
      <c r="S2422">
        <f>IMAGE("https://mitra.stanford.edu/kundaje/oak/projects/neuro-variants/variant_position/credible/roussos_2024/variant_figures/roussos_2024.adolescence.Astrocyte/rs729824_count_position.png",4,220,900)</f>
        <v/>
      </c>
      <c r="T2422">
        <f>IMAGE("https://mitra.stanford.edu/kundaje/oak/projects/neuro-variants/variant_position/credible/roussos_2024/variant_figures/roussos_2024.adolescence.Astrocyte/rs729824_profile_position.png",4,220,900)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0.141703518</v>
      </c>
      <c r="G2423" t="n">
        <v>0.0483769389365893</v>
      </c>
      <c r="H2423" t="n">
        <v>0.0261105636827419</v>
      </c>
      <c r="I2423" t="n">
        <v>0.0540896900201466</v>
      </c>
      <c r="J2423" t="n">
        <v>0.5212525591193662</v>
      </c>
      <c r="K2423" t="n">
        <v>0.0479268754842087</v>
      </c>
      <c r="L2423" t="b">
        <v>0</v>
      </c>
      <c r="M2423" t="b">
        <v>0</v>
      </c>
      <c r="N2423" t="inlineStr">
        <is>
          <t>alt</t>
        </is>
      </c>
      <c r="O2423" t="n">
        <v>15</v>
      </c>
      <c r="P2423" t="n">
        <v>0.001282</v>
      </c>
      <c r="Q2423" t="n">
        <v>-30</v>
      </c>
      <c r="R2423" t="n">
        <v>0.02832</v>
      </c>
      <c r="S2423">
        <f>IMAGE("https://mitra.stanford.edu/kundaje/oak/projects/neuro-variants/variant_position/credible/roussos_2024/variant_figures/roussos_2024.adolescence.Astrocyte/rs495146_count_position.png",4,220,900)</f>
        <v/>
      </c>
      <c r="T2423">
        <f>IMAGE("https://mitra.stanford.edu/kundaje/oak/projects/neuro-variants/variant_position/credible/roussos_2024/variant_figures/roussos_2024.adolescence.Astrocyte/rs495146_profile_position.png",4,220,900)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-0.02025156666</v>
      </c>
      <c r="G2424" t="n">
        <v>0.5574251095307035</v>
      </c>
      <c r="H2424" t="n">
        <v>0.0099086353298004</v>
      </c>
      <c r="I2424" t="n">
        <v>0.75920750451441</v>
      </c>
      <c r="J2424" t="n">
        <v>0.3447764293979763</v>
      </c>
      <c r="K2424" t="n">
        <v>0.1107554817198049</v>
      </c>
      <c r="L2424" t="b">
        <v>0</v>
      </c>
      <c r="M2424" t="b">
        <v>0</v>
      </c>
      <c r="N2424" t="inlineStr">
        <is>
          <t>ref</t>
        </is>
      </c>
      <c r="O2424" t="n">
        <v>-85</v>
      </c>
      <c r="P2424" t="n">
        <v>0.004013</v>
      </c>
      <c r="Q2424" t="n">
        <v>55</v>
      </c>
      <c r="R2424" t="n">
        <v>0.2805</v>
      </c>
      <c r="S2424">
        <f>IMAGE("https://mitra.stanford.edu/kundaje/oak/projects/neuro-variants/variant_position/credible/roussos_2024/variant_figures/roussos_2024.adolescence.Astrocyte/rs6012680_count_position.png",4,220,900)</f>
        <v/>
      </c>
      <c r="T2424">
        <f>IMAGE("https://mitra.stanford.edu/kundaje/oak/projects/neuro-variants/variant_position/credible/roussos_2024/variant_figures/roussos_2024.adolescence.Astrocyte/rs6012680_profile_position.png",4,220,900)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-0.0336706127999999</v>
      </c>
      <c r="G2425" t="n">
        <v>0.2318666433019441</v>
      </c>
      <c r="H2425" t="n">
        <v>0.0164744308890015</v>
      </c>
      <c r="I2425" t="n">
        <v>0.2519466656225888</v>
      </c>
      <c r="J2425" t="n">
        <v>0.0500482152924071</v>
      </c>
      <c r="K2425" t="n">
        <v>0.4455238552170322</v>
      </c>
      <c r="L2425" t="b">
        <v>0</v>
      </c>
      <c r="M2425" t="b">
        <v>0</v>
      </c>
      <c r="N2425" t="inlineStr">
        <is>
          <t>ref</t>
        </is>
      </c>
      <c r="O2425" t="n">
        <v>-10</v>
      </c>
      <c r="P2425" t="n">
        <v>0.002258</v>
      </c>
      <c r="Q2425" t="n">
        <v>-50</v>
      </c>
      <c r="R2425" t="n">
        <v>0.1375</v>
      </c>
      <c r="S2425">
        <f>IMAGE("https://mitra.stanford.edu/kundaje/oak/projects/neuro-variants/variant_position/credible/roussos_2024/variant_figures/roussos_2024.adolescence.Astrocyte/rs1810404_count_position.png",4,220,900)</f>
        <v/>
      </c>
      <c r="T2425">
        <f>IMAGE("https://mitra.stanford.edu/kundaje/oak/projects/neuro-variants/variant_position/credible/roussos_2024/variant_figures/roussos_2024.adolescence.Astrocyte/rs1810404_profile_position.png",4,220,900)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-0.1022860542</v>
      </c>
      <c r="G2426" t="n">
        <v>0.0757199391995175</v>
      </c>
      <c r="H2426" t="n">
        <v>0.0126930727540936</v>
      </c>
      <c r="I2426" t="n">
        <v>0.4814533373338462</v>
      </c>
      <c r="J2426" t="n">
        <v>0.0365983740319852</v>
      </c>
      <c r="K2426" t="n">
        <v>0.4917255936656989</v>
      </c>
      <c r="L2426" t="b">
        <v>0</v>
      </c>
      <c r="M2426" t="b">
        <v>0</v>
      </c>
      <c r="N2426" t="inlineStr">
        <is>
          <t>ref</t>
        </is>
      </c>
      <c r="O2426" t="n">
        <v>95</v>
      </c>
      <c r="P2426" t="n">
        <v>0.04022</v>
      </c>
      <c r="Q2426" t="n">
        <v>70</v>
      </c>
      <c r="R2426" t="n">
        <v>0.1562</v>
      </c>
      <c r="S2426">
        <f>IMAGE("https://mitra.stanford.edu/kundaje/oak/projects/neuro-variants/variant_position/credible/roussos_2024/variant_figures/roussos_2024.adolescence.Astrocyte/rs34570637_count_position.png",4,220,900)</f>
        <v/>
      </c>
      <c r="T2426">
        <f>IMAGE("https://mitra.stanford.edu/kundaje/oak/projects/neuro-variants/variant_position/credible/roussos_2024/variant_figures/roussos_2024.adolescence.Astrocyte/rs34570637_profile_position.png",4,220,900)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-0.00999091106</v>
      </c>
      <c r="G2427" t="n">
        <v>0.3183754979943357</v>
      </c>
      <c r="H2427" t="n">
        <v>0.0154802065846176</v>
      </c>
      <c r="I2427" t="n">
        <v>0.2983921827651142</v>
      </c>
      <c r="J2427" t="n">
        <v>0.0025294484170547</v>
      </c>
      <c r="K2427" t="n">
        <v>0.8181034080101317</v>
      </c>
      <c r="L2427" t="b">
        <v>0</v>
      </c>
      <c r="M2427" t="b">
        <v>0</v>
      </c>
      <c r="N2427" t="inlineStr">
        <is>
          <t>ref</t>
        </is>
      </c>
      <c r="O2427" t="n">
        <v>-85</v>
      </c>
      <c r="P2427" t="n">
        <v>0.005432</v>
      </c>
      <c r="Q2427" t="n">
        <v>80</v>
      </c>
      <c r="R2427" t="n">
        <v>0.1411</v>
      </c>
      <c r="S2427">
        <f>IMAGE("https://mitra.stanford.edu/kundaje/oak/projects/neuro-variants/variant_position/credible/roussos_2024/variant_figures/roussos_2024.adolescence.Astrocyte/rs73172392_count_position.png",4,220,900)</f>
        <v/>
      </c>
      <c r="T2427">
        <f>IMAGE("https://mitra.stanford.edu/kundaje/oak/projects/neuro-variants/variant_position/credible/roussos_2024/variant_figures/roussos_2024.adolescence.Astrocyte/rs73172392_profile_position.png",4,220,900)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-0.001387574</v>
      </c>
      <c r="G2428" t="n">
        <v>0.8788943258560329</v>
      </c>
      <c r="H2428" t="n">
        <v>0.0221215526698308</v>
      </c>
      <c r="I2428" t="n">
        <v>0.0999049521060543</v>
      </c>
      <c r="J2428" t="n">
        <v>0.0132562383170637</v>
      </c>
      <c r="K2428" t="n">
        <v>0.6256609201057969</v>
      </c>
      <c r="L2428" t="b">
        <v>0</v>
      </c>
      <c r="M2428" t="b">
        <v>0</v>
      </c>
      <c r="N2428" t="inlineStr">
        <is>
          <t>ref</t>
        </is>
      </c>
      <c r="O2428" t="n">
        <v>-80</v>
      </c>
      <c r="P2428" t="n">
        <v>0.01965</v>
      </c>
      <c r="Q2428" t="n">
        <v>90</v>
      </c>
      <c r="R2428" t="n">
        <v>0.0667</v>
      </c>
      <c r="S2428">
        <f>IMAGE("https://mitra.stanford.edu/kundaje/oak/projects/neuro-variants/variant_position/credible/roussos_2024/variant_figures/roussos_2024.adolescence.Astrocyte/rs2826495_count_position.png",4,220,900)</f>
        <v/>
      </c>
      <c r="T2428">
        <f>IMAGE("https://mitra.stanford.edu/kundaje/oak/projects/neuro-variants/variant_position/credible/roussos_2024/variant_figures/roussos_2024.adolescence.Astrocyte/rs2826495_profile_position.png",4,220,900)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-0.0880951304</v>
      </c>
      <c r="G2429" t="n">
        <v>0.1051408190047053</v>
      </c>
      <c r="H2429" t="n">
        <v>0.0284550673757006</v>
      </c>
      <c r="I2429" t="n">
        <v>0.0384410078626343</v>
      </c>
      <c r="J2429" t="n">
        <v>0.1922773937038245</v>
      </c>
      <c r="K2429" t="n">
        <v>0.2093365340918672</v>
      </c>
      <c r="L2429" t="b">
        <v>0</v>
      </c>
      <c r="M2429" t="b">
        <v>0</v>
      </c>
      <c r="N2429" t="inlineStr">
        <is>
          <t>ref</t>
        </is>
      </c>
      <c r="O2429" t="n">
        <v>55</v>
      </c>
      <c r="P2429" t="n">
        <v>0.006546</v>
      </c>
      <c r="Q2429" t="n">
        <v>20</v>
      </c>
      <c r="R2429" t="n">
        <v>0.07935</v>
      </c>
      <c r="S2429">
        <f>IMAGE("https://mitra.stanford.edu/kundaje/oak/projects/neuro-variants/variant_position/credible/roussos_2024/variant_figures/roussos_2024.adolescence.Astrocyte/rs3746862_count_position.png",4,220,900)</f>
        <v/>
      </c>
      <c r="T2429">
        <f>IMAGE("https://mitra.stanford.edu/kundaje/oak/projects/neuro-variants/variant_position/credible/roussos_2024/variant_figures/roussos_2024.adolescence.Astrocyte/rs3746862_profile_position.png",4,220,900)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-0.0277829802</v>
      </c>
      <c r="G2430" t="n">
        <v>0.4550140495447062</v>
      </c>
      <c r="H2430" t="n">
        <v>0.0100994309833841</v>
      </c>
      <c r="I2430" t="n">
        <v>0.7444219168008793</v>
      </c>
      <c r="J2430" t="n">
        <v>0.5423100317479156</v>
      </c>
      <c r="K2430" t="n">
        <v>0.0455817966854919</v>
      </c>
      <c r="L2430" t="b">
        <v>0</v>
      </c>
      <c r="M2430" t="b">
        <v>0</v>
      </c>
      <c r="N2430" t="inlineStr">
        <is>
          <t>ref</t>
        </is>
      </c>
      <c r="O2430" t="n">
        <v>100</v>
      </c>
      <c r="P2430" t="n">
        <v>0.01133</v>
      </c>
      <c r="Q2430" t="n">
        <v>100</v>
      </c>
      <c r="R2430" t="n">
        <v>0.246</v>
      </c>
      <c r="S2430">
        <f>IMAGE("https://mitra.stanford.edu/kundaje/oak/projects/neuro-variants/variant_position/credible/roussos_2024/variant_figures/roussos_2024.adolescence.Astrocyte/rs4819527_count_position.png",4,220,900)</f>
        <v/>
      </c>
      <c r="T2430">
        <f>IMAGE("https://mitra.stanford.edu/kundaje/oak/projects/neuro-variants/variant_position/credible/roussos_2024/variant_figures/roussos_2024.adolescence.Astrocyte/rs4819527_profile_position.png",4,220,900)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-0.169750404</v>
      </c>
      <c r="G2431" t="n">
        <v>0.0261778037358071</v>
      </c>
      <c r="H2431" t="n">
        <v>0.0298636234502365</v>
      </c>
      <c r="I2431" t="n">
        <v>0.0320068763351774</v>
      </c>
      <c r="J2431" t="n">
        <v>0.9873653680681244</v>
      </c>
      <c r="K2431" t="n">
        <v>4.661053650652216e-06</v>
      </c>
      <c r="L2431" t="b">
        <v>0</v>
      </c>
      <c r="M2431" t="b">
        <v>0</v>
      </c>
      <c r="N2431" t="inlineStr">
        <is>
          <t>ref</t>
        </is>
      </c>
      <c r="O2431" t="n">
        <v>35</v>
      </c>
      <c r="P2431" t="n">
        <v>0.001221</v>
      </c>
      <c r="Q2431" t="n">
        <v>-25</v>
      </c>
      <c r="R2431" t="n">
        <v>0.0398</v>
      </c>
      <c r="S2431">
        <f>IMAGE("https://mitra.stanford.edu/kundaje/oak/projects/neuro-variants/variant_position/credible/roussos_2024/variant_figures/roussos_2024.adolescence.Astrocyte/rs61174903_count_position.png",4,220,900)</f>
        <v/>
      </c>
      <c r="T2431">
        <f>IMAGE("https://mitra.stanford.edu/kundaje/oak/projects/neuro-variants/variant_position/credible/roussos_2024/variant_figures/roussos_2024.adolescence.Astrocyte/rs61174903_profile_position.png",4,220,900)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0.03031758044</v>
      </c>
      <c r="G2432" t="n">
        <v>0.3025296705604809</v>
      </c>
      <c r="H2432" t="n">
        <v>0.0135650181481919</v>
      </c>
      <c r="I2432" t="n">
        <v>0.415535425936548</v>
      </c>
      <c r="J2432" t="n">
        <v>0.078535293594042</v>
      </c>
      <c r="K2432" t="n">
        <v>0.379738699146912</v>
      </c>
      <c r="L2432" t="b">
        <v>0</v>
      </c>
      <c r="M2432" t="b">
        <v>0</v>
      </c>
      <c r="N2432" t="inlineStr">
        <is>
          <t>alt</t>
        </is>
      </c>
      <c r="O2432" t="n">
        <v>100</v>
      </c>
      <c r="P2432" t="n">
        <v>0.03442</v>
      </c>
      <c r="Q2432" t="n">
        <v>100</v>
      </c>
      <c r="R2432" t="n">
        <v>0.1467</v>
      </c>
      <c r="S2432">
        <f>IMAGE("https://mitra.stanford.edu/kundaje/oak/projects/neuro-variants/variant_position/credible/roussos_2024/variant_figures/roussos_2024.adolescence.Astrocyte/rs138647105_count_position.png",4,220,900)</f>
        <v/>
      </c>
      <c r="T2432">
        <f>IMAGE("https://mitra.stanford.edu/kundaje/oak/projects/neuro-variants/variant_position/credible/roussos_2024/variant_figures/roussos_2024.adolescence.Astrocyte/rs138647105_profile_position.png",4,220,900)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0.0219266696</v>
      </c>
      <c r="G2433" t="n">
        <v>0.2560395493951823</v>
      </c>
      <c r="H2433" t="n">
        <v>0.019064248110294</v>
      </c>
      <c r="I2433" t="n">
        <v>0.1590158219256655</v>
      </c>
      <c r="J2433" t="n">
        <v>0.3638348218259502</v>
      </c>
      <c r="K2433" t="n">
        <v>0.1029089146908942</v>
      </c>
      <c r="L2433" t="b">
        <v>0</v>
      </c>
      <c r="M2433" t="b">
        <v>0</v>
      </c>
      <c r="N2433" t="inlineStr">
        <is>
          <t>alt</t>
        </is>
      </c>
      <c r="O2433" t="n">
        <v>-20</v>
      </c>
      <c r="P2433" t="n">
        <v>0.00164</v>
      </c>
      <c r="Q2433" t="n">
        <v>25</v>
      </c>
      <c r="R2433" t="n">
        <v>0.04956</v>
      </c>
      <c r="S2433">
        <f>IMAGE("https://mitra.stanford.edu/kundaje/oak/projects/neuro-variants/variant_position/credible/roussos_2024/variant_figures/roussos_2024.adolescence.Astrocyte/rs7349039_count_position.png",4,220,900)</f>
        <v/>
      </c>
      <c r="T2433">
        <f>IMAGE("https://mitra.stanford.edu/kundaje/oak/projects/neuro-variants/variant_position/credible/roussos_2024/variant_figures/roussos_2024.adolescence.Astrocyte/rs7349039_profile_position.png",4,220,900)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0.0491090002</v>
      </c>
      <c r="G2434" t="n">
        <v>0.2329334919643195</v>
      </c>
      <c r="H2434" t="n">
        <v>0.0111791961639614</v>
      </c>
      <c r="I2434" t="n">
        <v>0.6345400130364593</v>
      </c>
      <c r="J2434" t="n">
        <v>0.08222561789751651</v>
      </c>
      <c r="K2434" t="n">
        <v>0.3666601126252642</v>
      </c>
      <c r="L2434" t="b">
        <v>0</v>
      </c>
      <c r="M2434" t="b">
        <v>0</v>
      </c>
      <c r="N2434" t="inlineStr">
        <is>
          <t>alt</t>
        </is>
      </c>
      <c r="O2434" t="n">
        <v>65</v>
      </c>
      <c r="P2434" t="n">
        <v>0.06213</v>
      </c>
      <c r="Q2434" t="n">
        <v>100</v>
      </c>
      <c r="R2434" t="n">
        <v>0.08160000000000001</v>
      </c>
      <c r="S2434">
        <f>IMAGE("https://mitra.stanford.edu/kundaje/oak/projects/neuro-variants/variant_position/credible/roussos_2024/variant_figures/roussos_2024.adolescence.Astrocyte/rs75974641_count_position.png",4,220,900)</f>
        <v/>
      </c>
      <c r="T2434">
        <f>IMAGE("https://mitra.stanford.edu/kundaje/oak/projects/neuro-variants/variant_position/credible/roussos_2024/variant_figures/roussos_2024.adolescence.Astrocyte/rs75974641_profile_position.png",4,220,900)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-0.2295485739999999</v>
      </c>
      <c r="G2435" t="n">
        <v>0.0141443712373948</v>
      </c>
      <c r="H2435" t="n">
        <v>0.0260576269679779</v>
      </c>
      <c r="I2435" t="n">
        <v>0.0558337815496496</v>
      </c>
      <c r="J2435" t="n">
        <v>0.2083434709076343</v>
      </c>
      <c r="K2435" t="n">
        <v>0.1983467294177719</v>
      </c>
      <c r="L2435" t="b">
        <v>1</v>
      </c>
      <c r="M2435" t="b">
        <v>0</v>
      </c>
      <c r="N2435" t="inlineStr">
        <is>
          <t>ref</t>
        </is>
      </c>
      <c r="O2435" t="n">
        <v>-90</v>
      </c>
      <c r="P2435" t="n">
        <v>0.01599</v>
      </c>
      <c r="Q2435" t="n">
        <v>-80</v>
      </c>
      <c r="R2435" t="n">
        <v>0.1385</v>
      </c>
      <c r="S2435">
        <f>IMAGE("https://mitra.stanford.edu/kundaje/oak/projects/neuro-variants/variant_position/credible/roussos_2024/variant_figures/roussos_2024.adolescence.Astrocyte/rs8136346_count_position.png",4,220,900)</f>
        <v/>
      </c>
      <c r="T2435">
        <f>IMAGE("https://mitra.stanford.edu/kundaje/oak/projects/neuro-variants/variant_position/credible/roussos_2024/variant_figures/roussos_2024.adolescence.Astrocyte/rs8136346_profile_position.png",4,220,900)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0.1553641899999999</v>
      </c>
      <c r="G2436" t="n">
        <v>0.0333811123295338</v>
      </c>
      <c r="H2436" t="n">
        <v>0.0244684158025479</v>
      </c>
      <c r="I2436" t="n">
        <v>0.07228076259063269</v>
      </c>
      <c r="J2436" t="n">
        <v>0.285016912441029</v>
      </c>
      <c r="K2436" t="n">
        <v>0.145015786468628</v>
      </c>
      <c r="L2436" t="b">
        <v>0</v>
      </c>
      <c r="M2436" t="b">
        <v>0</v>
      </c>
      <c r="N2436" t="inlineStr">
        <is>
          <t>alt</t>
        </is>
      </c>
      <c r="O2436" t="n">
        <v>-50</v>
      </c>
      <c r="P2436" t="n">
        <v>0.005478</v>
      </c>
      <c r="Q2436" t="n">
        <v>100</v>
      </c>
      <c r="R2436" t="n">
        <v>0.05444</v>
      </c>
      <c r="S2436">
        <f>IMAGE("https://mitra.stanford.edu/kundaje/oak/projects/neuro-variants/variant_position/credible/roussos_2024/variant_figures/roussos_2024.adolescence.Astrocyte/rs6001259_count_position.png",4,220,900)</f>
        <v/>
      </c>
      <c r="T2436">
        <f>IMAGE("https://mitra.stanford.edu/kundaje/oak/projects/neuro-variants/variant_position/credible/roussos_2024/variant_figures/roussos_2024.adolescence.Astrocyte/rs6001259_profile_position.png",4,220,900)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-0.18052595</v>
      </c>
      <c r="G2437" t="n">
        <v>0.0249219667104088</v>
      </c>
      <c r="H2437" t="n">
        <v>0.0214336408837741</v>
      </c>
      <c r="I2437" t="n">
        <v>0.1145267472964431</v>
      </c>
      <c r="J2437" t="n">
        <v>0.4538401625968015</v>
      </c>
      <c r="K2437" t="n">
        <v>0.0698496060145101</v>
      </c>
      <c r="L2437" t="b">
        <v>0</v>
      </c>
      <c r="M2437" t="b">
        <v>0</v>
      </c>
      <c r="N2437" t="inlineStr">
        <is>
          <t>ref</t>
        </is>
      </c>
      <c r="O2437" t="n">
        <v>55</v>
      </c>
      <c r="P2437" t="n">
        <v>0.02573</v>
      </c>
      <c r="Q2437" t="n">
        <v>-55</v>
      </c>
      <c r="R2437" t="n">
        <v>0.0891</v>
      </c>
      <c r="S2437">
        <f>IMAGE("https://mitra.stanford.edu/kundaje/oak/projects/neuro-variants/variant_position/credible/roussos_2024/variant_figures/roussos_2024.adolescence.Astrocyte/rs1053197_count_position.png",4,220,900)</f>
        <v/>
      </c>
      <c r="T2437">
        <f>IMAGE("https://mitra.stanford.edu/kundaje/oak/projects/neuro-variants/variant_position/credible/roussos_2024/variant_figures/roussos_2024.adolescence.Astrocyte/rs1053197_profile_position.png",4,220,900)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-0.0105247418</v>
      </c>
      <c r="G2438" t="n">
        <v>0.7410378512413897</v>
      </c>
      <c r="H2438" t="n">
        <v>0.0152645564999541</v>
      </c>
      <c r="I2438" t="n">
        <v>0.3101145827015867</v>
      </c>
      <c r="J2438" t="n">
        <v>0.0968437527816514</v>
      </c>
      <c r="K2438" t="n">
        <v>0.3285273248877055</v>
      </c>
      <c r="L2438" t="b">
        <v>0</v>
      </c>
      <c r="M2438" t="b">
        <v>0</v>
      </c>
      <c r="N2438" t="inlineStr">
        <is>
          <t>ref</t>
        </is>
      </c>
      <c r="O2438" t="n">
        <v>-95</v>
      </c>
      <c r="P2438" t="n">
        <v>0.01193</v>
      </c>
      <c r="Q2438" t="n">
        <v>-55</v>
      </c>
      <c r="R2438" t="n">
        <v>0.09594999999999999</v>
      </c>
      <c r="S2438">
        <f>IMAGE("https://mitra.stanford.edu/kundaje/oak/projects/neuro-variants/variant_position/credible/roussos_2024/variant_figures/roussos_2024.adolescence.Astrocyte/rs5750857_count_position.png",4,220,900)</f>
        <v/>
      </c>
      <c r="T2438">
        <f>IMAGE("https://mitra.stanford.edu/kundaje/oak/projects/neuro-variants/variant_position/credible/roussos_2024/variant_figures/roussos_2024.adolescence.Astrocyte/rs5750857_profile_position.png",4,220,900)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-0.08028264048</v>
      </c>
      <c r="G2439" t="n">
        <v>0.1836294421846054</v>
      </c>
      <c r="H2439" t="n">
        <v>0.0244131433070845</v>
      </c>
      <c r="I2439" t="n">
        <v>0.0728509540284701</v>
      </c>
      <c r="J2439" t="n">
        <v>0.7172180518054773</v>
      </c>
      <c r="K2439" t="n">
        <v>0.0156753688131048</v>
      </c>
      <c r="L2439" t="b">
        <v>0</v>
      </c>
      <c r="M2439" t="b">
        <v>0</v>
      </c>
      <c r="N2439" t="inlineStr">
        <is>
          <t>ref</t>
        </is>
      </c>
      <c r="O2439" t="n">
        <v>100</v>
      </c>
      <c r="P2439" t="n">
        <v>0.02246</v>
      </c>
      <c r="Q2439" t="n">
        <v>45</v>
      </c>
      <c r="R2439" t="n">
        <v>0.2625</v>
      </c>
      <c r="S2439">
        <f>IMAGE("https://mitra.stanford.edu/kundaje/oak/projects/neuro-variants/variant_position/credible/roussos_2024/variant_figures/roussos_2024.adolescence.Astrocyte/rs136828_count_position.png",4,220,900)</f>
        <v/>
      </c>
      <c r="T2439">
        <f>IMAGE("https://mitra.stanford.edu/kundaje/oak/projects/neuro-variants/variant_position/credible/roussos_2024/variant_figures/roussos_2024.adolescence.Astrocyte/rs136828_profile_position.png",4,220,900)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-0.037892048</v>
      </c>
      <c r="G2440" t="n">
        <v>0.3397684793714543</v>
      </c>
      <c r="H2440" t="n">
        <v>0.0561367277367279</v>
      </c>
      <c r="I2440" t="n">
        <v>0.0026043118137518</v>
      </c>
      <c r="J2440" t="n">
        <v>0.0434412366851615</v>
      </c>
      <c r="K2440" t="n">
        <v>0.4638191308626099</v>
      </c>
      <c r="L2440" t="b">
        <v>1</v>
      </c>
      <c r="M2440" t="b">
        <v>0</v>
      </c>
      <c r="N2440" t="inlineStr">
        <is>
          <t>ref</t>
        </is>
      </c>
      <c r="O2440" t="n">
        <v>100</v>
      </c>
      <c r="P2440" t="n">
        <v>0.0155</v>
      </c>
      <c r="Q2440" t="n">
        <v>45</v>
      </c>
      <c r="R2440" t="n">
        <v>0.08826000000000001</v>
      </c>
      <c r="S2440">
        <f>IMAGE("https://mitra.stanford.edu/kundaje/oak/projects/neuro-variants/variant_position/credible/roussos_2024/variant_figures/roussos_2024.adolescence.Astrocyte/rs35060074_count_position.png",4,220,900)</f>
        <v/>
      </c>
      <c r="T2440">
        <f>IMAGE("https://mitra.stanford.edu/kundaje/oak/projects/neuro-variants/variant_position/credible/roussos_2024/variant_figures/roussos_2024.adolescence.Astrocyte/rs35060074_profile_position.png",4,220,900)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0.1308653879999999</v>
      </c>
      <c r="G2441" t="n">
        <v>0.0491518654242482</v>
      </c>
      <c r="H2441" t="n">
        <v>0.0231439713318978</v>
      </c>
      <c r="I2441" t="n">
        <v>0.08515931837841351</v>
      </c>
      <c r="J2441" t="n">
        <v>0.9958787051597782</v>
      </c>
      <c r="K2441" t="n">
        <v>1.148697206299829e-06</v>
      </c>
      <c r="L2441" t="b">
        <v>0</v>
      </c>
      <c r="M2441" t="b">
        <v>0</v>
      </c>
      <c r="N2441" t="inlineStr">
        <is>
          <t>alt</t>
        </is>
      </c>
      <c r="O2441" t="n">
        <v>0</v>
      </c>
      <c r="P2441" t="n">
        <v>0</v>
      </c>
      <c r="Q2441" t="n">
        <v>0</v>
      </c>
      <c r="R2441" t="n">
        <v>0</v>
      </c>
      <c r="S2441">
        <f>IMAGE("https://mitra.stanford.edu/kundaje/oak/projects/neuro-variants/variant_position/credible/roussos_2024/variant_figures/roussos_2024.adolescence.Astrocyte/rs2234059_count_position.png",4,220,900)</f>
        <v/>
      </c>
      <c r="T2441">
        <f>IMAGE("https://mitra.stanford.edu/kundaje/oak/projects/neuro-variants/variant_position/credible/roussos_2024/variant_figures/roussos_2024.adolescence.Astrocyte/rs2234059_profile_position.png",4,220,900)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0.06698439505999999</v>
      </c>
      <c r="G2442" t="n">
        <v>0.1498098719599605</v>
      </c>
      <c r="H2442" t="n">
        <v>0.0318152288725001</v>
      </c>
      <c r="I2442" t="n">
        <v>0.024670884497003</v>
      </c>
      <c r="J2442" t="n">
        <v>0.7286079874195177</v>
      </c>
      <c r="K2442" t="n">
        <v>0.0131577277831265</v>
      </c>
      <c r="L2442" t="b">
        <v>0</v>
      </c>
      <c r="M2442" t="b">
        <v>0</v>
      </c>
      <c r="N2442" t="inlineStr">
        <is>
          <t>alt</t>
        </is>
      </c>
      <c r="O2442" t="n">
        <v>80</v>
      </c>
      <c r="P2442" t="n">
        <v>0.05093</v>
      </c>
      <c r="Q2442" t="n">
        <v>100</v>
      </c>
      <c r="R2442" t="n">
        <v>0.6636</v>
      </c>
      <c r="S2442">
        <f>IMAGE("https://mitra.stanford.edu/kundaje/oak/projects/neuro-variants/variant_position/credible/roussos_2024/variant_figures/roussos_2024.adolescence.Astrocyte/rs2273071_count_position.png",4,220,900)</f>
        <v/>
      </c>
      <c r="T2442">
        <f>IMAGE("https://mitra.stanford.edu/kundaje/oak/projects/neuro-variants/variant_position/credible/roussos_2024/variant_figures/roussos_2024.adolescence.Astrocyte/rs2273071_profile_position.png",4,220,900)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-0.0150554318</v>
      </c>
      <c r="G2443" t="n">
        <v>0.4148509720601193</v>
      </c>
      <c r="H2443" t="n">
        <v>0.0170985929627081</v>
      </c>
      <c r="I2443" t="n">
        <v>0.2238366186346142</v>
      </c>
      <c r="J2443" t="n">
        <v>0.7780368216479244</v>
      </c>
      <c r="K2443" t="n">
        <v>0.0099364824958526</v>
      </c>
      <c r="L2443" t="b">
        <v>0</v>
      </c>
      <c r="M2443" t="b">
        <v>0</v>
      </c>
      <c r="N2443" t="inlineStr">
        <is>
          <t>ref</t>
        </is>
      </c>
      <c r="O2443" t="n">
        <v>-100</v>
      </c>
      <c r="P2443" t="n">
        <v>0.04926</v>
      </c>
      <c r="Q2443" t="n">
        <v>-100</v>
      </c>
      <c r="R2443" t="n">
        <v>0.04382</v>
      </c>
      <c r="S2443">
        <f>IMAGE("https://mitra.stanford.edu/kundaje/oak/projects/neuro-variants/variant_position/credible/roussos_2024/variant_figures/roussos_2024.adolescence.Astrocyte/rs10154646_count_position.png",4,220,900)</f>
        <v/>
      </c>
      <c r="T2443">
        <f>IMAGE("https://mitra.stanford.edu/kundaje/oak/projects/neuro-variants/variant_position/credible/roussos_2024/variant_figures/roussos_2024.adolescence.Astrocyte/rs10154646_profile_position.png",4,220,900)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-0.00049854328</v>
      </c>
      <c r="G2444" t="n">
        <v>0.7103146462591887</v>
      </c>
      <c r="H2444" t="n">
        <v>0.008391361812422201</v>
      </c>
      <c r="I2444" t="n">
        <v>0.909325410385632</v>
      </c>
      <c r="J2444" t="n">
        <v>0.1769389965284989</v>
      </c>
      <c r="K2444" t="n">
        <v>0.2233842386866756</v>
      </c>
      <c r="L2444" t="b">
        <v>0</v>
      </c>
      <c r="M2444" t="b">
        <v>0</v>
      </c>
      <c r="N2444" t="inlineStr">
        <is>
          <t>ref</t>
        </is>
      </c>
      <c r="O2444" t="n">
        <v>-50</v>
      </c>
      <c r="P2444" t="n">
        <v>0.005486</v>
      </c>
      <c r="Q2444" t="n">
        <v>100</v>
      </c>
      <c r="R2444" t="n">
        <v>0.2805</v>
      </c>
      <c r="S2444">
        <f>IMAGE("https://mitra.stanford.edu/kundaje/oak/projects/neuro-variants/variant_position/credible/roussos_2024/variant_figures/roussos_2024.adolescence.Astrocyte/rs76365544_count_position.png",4,220,900)</f>
        <v/>
      </c>
      <c r="T2444">
        <f>IMAGE("https://mitra.stanford.edu/kundaje/oak/projects/neuro-variants/variant_position/credible/roussos_2024/variant_figures/roussos_2024.adolescence.Astrocyte/rs76365544_profile_position.png",4,220,900)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-0.277364606</v>
      </c>
      <c r="G2445" t="n">
        <v>0.0078614782061501</v>
      </c>
      <c r="H2445" t="n">
        <v>0.0376493702872667</v>
      </c>
      <c r="I2445" t="n">
        <v>0.0133991707156531</v>
      </c>
      <c r="J2445" t="n">
        <v>0.0336127347713853</v>
      </c>
      <c r="K2445" t="n">
        <v>0.5120277977714993</v>
      </c>
      <c r="L2445" t="b">
        <v>1</v>
      </c>
      <c r="M2445" t="b">
        <v>1</v>
      </c>
      <c r="N2445" t="inlineStr">
        <is>
          <t>ref</t>
        </is>
      </c>
      <c r="O2445" t="n">
        <v>-75</v>
      </c>
      <c r="P2445" t="n">
        <v>0.003633</v>
      </c>
      <c r="Q2445" t="n">
        <v>70</v>
      </c>
      <c r="R2445" t="n">
        <v>0.08044</v>
      </c>
      <c r="S2445">
        <f>IMAGE("https://mitra.stanford.edu/kundaje/oak/projects/neuro-variants/variant_position/credible/roussos_2024/variant_figures/roussos_2024.adolescence.Astrocyte/rs138891_count_position.png",4,220,900)</f>
        <v/>
      </c>
      <c r="T2445">
        <f>IMAGE("https://mitra.stanford.edu/kundaje/oak/projects/neuro-variants/variant_position/credible/roussos_2024/variant_figures/roussos_2024.adolescence.Astrocyte/rs138891_profile_position.png",4,220,900)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-0.011165961534</v>
      </c>
      <c r="G2446" t="n">
        <v>0.661200932139178</v>
      </c>
      <c r="H2446" t="n">
        <v>0.0350919977130081</v>
      </c>
      <c r="I2446" t="n">
        <v>0.0166854731866011</v>
      </c>
      <c r="J2446" t="n">
        <v>0.07228584992433899</v>
      </c>
      <c r="K2446" t="n">
        <v>0.3788072308826865</v>
      </c>
      <c r="L2446" t="b">
        <v>1</v>
      </c>
      <c r="M2446" t="b">
        <v>0</v>
      </c>
      <c r="N2446" t="inlineStr">
        <is>
          <t>ref</t>
        </is>
      </c>
      <c r="O2446" t="n">
        <v>-45</v>
      </c>
      <c r="P2446" t="n">
        <v>0.009180000000000001</v>
      </c>
      <c r="Q2446" t="n">
        <v>-100</v>
      </c>
      <c r="R2446" t="n">
        <v>0.2224</v>
      </c>
      <c r="S2446">
        <f>IMAGE("https://mitra.stanford.edu/kundaje/oak/projects/neuro-variants/variant_position/credible/roussos_2024/variant_figures/roussos_2024.adolescence.Astrocyte/rs2319458_count_position.png",4,220,900)</f>
        <v/>
      </c>
      <c r="T2446">
        <f>IMAGE("https://mitra.stanford.edu/kundaje/oak/projects/neuro-variants/variant_position/credible/roussos_2024/variant_figures/roussos_2024.adolescence.Astrocyte/rs2319458_profile_position.png",4,220,900)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-0.009502850663999999</v>
      </c>
      <c r="G2447" t="n">
        <v>0.7683264246207819</v>
      </c>
      <c r="H2447" t="n">
        <v>0.0376531592913036</v>
      </c>
      <c r="I2447" t="n">
        <v>0.012310259862219</v>
      </c>
      <c r="J2447" t="n">
        <v>0.2363817761030175</v>
      </c>
      <c r="K2447" t="n">
        <v>0.1744044474338226</v>
      </c>
      <c r="L2447" t="b">
        <v>1</v>
      </c>
      <c r="M2447" t="b">
        <v>0</v>
      </c>
      <c r="N2447" t="inlineStr">
        <is>
          <t>ref</t>
        </is>
      </c>
      <c r="O2447" t="n">
        <v>-100</v>
      </c>
      <c r="P2447" t="n">
        <v>0.01645</v>
      </c>
      <c r="Q2447" t="n">
        <v>-100</v>
      </c>
      <c r="R2447" t="n">
        <v>0.301</v>
      </c>
      <c r="S2447">
        <f>IMAGE("https://mitra.stanford.edu/kundaje/oak/projects/neuro-variants/variant_position/credible/roussos_2024/variant_figures/roussos_2024.adolescence.Astrocyte/rs13056783_count_position.png",4,220,900)</f>
        <v/>
      </c>
      <c r="T2447">
        <f>IMAGE("https://mitra.stanford.edu/kundaje/oak/projects/neuro-variants/variant_position/credible/roussos_2024/variant_figures/roussos_2024.adolescence.Astrocyte/rs13056783_profile_position.png",4,220,900)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0.0959231416</v>
      </c>
      <c r="G2448" t="n">
        <v>0.0883670300504048</v>
      </c>
      <c r="H2448" t="n">
        <v>0.016423271459974</v>
      </c>
      <c r="I2448" t="n">
        <v>0.2606418864539091</v>
      </c>
      <c r="J2448" t="n">
        <v>0.0882577218645224</v>
      </c>
      <c r="K2448" t="n">
        <v>0.3503132150751948</v>
      </c>
      <c r="L2448" t="b">
        <v>0</v>
      </c>
      <c r="M2448" t="b">
        <v>0</v>
      </c>
      <c r="N2448" t="inlineStr">
        <is>
          <t>alt</t>
        </is>
      </c>
      <c r="O2448" t="n">
        <v>-95</v>
      </c>
      <c r="P2448" t="n">
        <v>0.02228</v>
      </c>
      <c r="Q2448" t="n">
        <v>45</v>
      </c>
      <c r="R2448" t="n">
        <v>0.05322</v>
      </c>
      <c r="S2448">
        <f>IMAGE("https://mitra.stanford.edu/kundaje/oak/projects/neuro-variants/variant_position/credible/roussos_2024/variant_figures/roussos_2024.adolescence.Astrocyte/rs2295409_count_position.png",4,220,900)</f>
        <v/>
      </c>
      <c r="T2448">
        <f>IMAGE("https://mitra.stanford.edu/kundaje/oak/projects/neuro-variants/variant_position/credible/roussos_2024/variant_figures/roussos_2024.adolescence.Astrocyte/rs2295409_profile_position.png",4,220,900)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0.0455972704</v>
      </c>
      <c r="G2449" t="n">
        <v>0.2386297422447268</v>
      </c>
      <c r="H2449" t="n">
        <v>0.0128335000155984</v>
      </c>
      <c r="I2449" t="n">
        <v>0.4785362441213908</v>
      </c>
      <c r="J2449" t="n">
        <v>0.0717198765688513</v>
      </c>
      <c r="K2449" t="n">
        <v>0.3870950031374713</v>
      </c>
      <c r="L2449" t="b">
        <v>0</v>
      </c>
      <c r="M2449" t="b">
        <v>0</v>
      </c>
      <c r="N2449" t="inlineStr">
        <is>
          <t>alt</t>
        </is>
      </c>
      <c r="O2449" t="n">
        <v>90</v>
      </c>
      <c r="P2449" t="n">
        <v>0.003685</v>
      </c>
      <c r="Q2449" t="n">
        <v>-15</v>
      </c>
      <c r="R2449" t="n">
        <v>0.02637</v>
      </c>
      <c r="S2449">
        <f>IMAGE("https://mitra.stanford.edu/kundaje/oak/projects/neuro-variants/variant_position/credible/roussos_2024/variant_figures/roussos_2024.adolescence.Astrocyte/rs8139758_count_position.png",4,220,900)</f>
        <v/>
      </c>
      <c r="T2449">
        <f>IMAGE("https://mitra.stanford.edu/kundaje/oak/projects/neuro-variants/variant_position/credible/roussos_2024/variant_figures/roussos_2024.adolescence.Astrocyte/rs8139758_profile_position.png",4,220,900)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-0.0437684508</v>
      </c>
      <c r="G2450" t="n">
        <v>0.2948191145568481</v>
      </c>
      <c r="H2450" t="n">
        <v>0.0145857559050325</v>
      </c>
      <c r="I2450" t="n">
        <v>0.3527801399842449</v>
      </c>
      <c r="J2450" t="n">
        <v>0.0263841497789513</v>
      </c>
      <c r="K2450" t="n">
        <v>0.530716560894233</v>
      </c>
      <c r="L2450" t="b">
        <v>0</v>
      </c>
      <c r="M2450" t="b">
        <v>0</v>
      </c>
      <c r="N2450" t="inlineStr">
        <is>
          <t>ref</t>
        </is>
      </c>
      <c r="O2450" t="n">
        <v>-70</v>
      </c>
      <c r="P2450" t="n">
        <v>0.04935</v>
      </c>
      <c r="Q2450" t="n">
        <v>-80</v>
      </c>
      <c r="R2450" t="n">
        <v>0.1714</v>
      </c>
      <c r="S2450">
        <f>IMAGE("https://mitra.stanford.edu/kundaje/oak/projects/neuro-variants/variant_position/credible/roussos_2024/variant_figures/roussos_2024.adolescence.Astrocyte/rs5769761_count_position.png",4,220,900)</f>
        <v/>
      </c>
      <c r="T2450">
        <f>IMAGE("https://mitra.stanford.edu/kundaje/oak/projects/neuro-variants/variant_position/credible/roussos_2024/variant_figures/roussos_2024.adolescence.Astrocyte/rs5769761_profile_position.png",4,220,900)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0.1168377961999999</v>
      </c>
      <c r="G2451" t="n">
        <v>0.0611660615575616</v>
      </c>
      <c r="H2451" t="n">
        <v>0.0344281230380574</v>
      </c>
      <c r="I2451" t="n">
        <v>0.018307287963539</v>
      </c>
      <c r="J2451" t="n">
        <v>0.0231900721004064</v>
      </c>
      <c r="K2451" t="n">
        <v>0.563968643188688</v>
      </c>
      <c r="L2451" t="b">
        <v>1</v>
      </c>
      <c r="M2451" t="b">
        <v>0</v>
      </c>
      <c r="N2451" t="inlineStr">
        <is>
          <t>alt</t>
        </is>
      </c>
      <c r="O2451" t="n">
        <v>-10</v>
      </c>
      <c r="P2451" t="n">
        <v>0.002258</v>
      </c>
      <c r="Q2451" t="n">
        <v>100</v>
      </c>
      <c r="R2451" t="n">
        <v>0.1366</v>
      </c>
      <c r="S2451">
        <f>IMAGE("https://mitra.stanford.edu/kundaje/oak/projects/neuro-variants/variant_position/credible/roussos_2024/variant_figures/roussos_2024.adolescence.Astrocyte/rs5769762_count_position.png",4,220,900)</f>
        <v/>
      </c>
      <c r="T2451">
        <f>IMAGE("https://mitra.stanford.edu/kundaje/oak/projects/neuro-variants/variant_position/credible/roussos_2024/variant_figures/roussos_2024.adolescence.Astrocyte/rs5769762_profile_position.png",4,220,900)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0.0147524857999999</v>
      </c>
      <c r="G2452" t="n">
        <v>0.5639539958778741</v>
      </c>
      <c r="H2452" t="n">
        <v>0.0108158420161538</v>
      </c>
      <c r="I2452" t="n">
        <v>0.6768039797083049</v>
      </c>
      <c r="J2452" t="n">
        <v>0.0931104056018751</v>
      </c>
      <c r="K2452" t="n">
        <v>0.3329955990264009</v>
      </c>
      <c r="L2452" t="b">
        <v>0</v>
      </c>
      <c r="M2452" t="b">
        <v>0</v>
      </c>
      <c r="N2452" t="inlineStr">
        <is>
          <t>alt</t>
        </is>
      </c>
      <c r="O2452" t="n">
        <v>100</v>
      </c>
      <c r="P2452" t="n">
        <v>0.0838</v>
      </c>
      <c r="Q2452" t="n">
        <v>-95</v>
      </c>
      <c r="R2452" t="n">
        <v>0.3345</v>
      </c>
      <c r="S2452">
        <f>IMAGE("https://mitra.stanford.edu/kundaje/oak/projects/neuro-variants/variant_position/credible/roussos_2024/variant_figures/roussos_2024.adolescence.Astrocyte/rs4824106_count_position.png",4,220,900)</f>
        <v/>
      </c>
      <c r="T2452">
        <f>IMAGE("https://mitra.stanford.edu/kundaje/oak/projects/neuro-variants/variant_position/credible/roussos_2024/variant_figures/roussos_2024.adolescence.Astrocyte/rs4824106_profile_position.png",4,220,900)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0.1112728119999999</v>
      </c>
      <c r="G2453" t="n">
        <v>0.0715896179177318</v>
      </c>
      <c r="H2453" t="n">
        <v>0.0140909905675823</v>
      </c>
      <c r="I2453" t="n">
        <v>0.3839346741992079</v>
      </c>
      <c r="J2453" t="n">
        <v>0.6391649111355072</v>
      </c>
      <c r="K2453" t="n">
        <v>0.0158272209983004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0.03842</v>
      </c>
      <c r="Q2453" t="n">
        <v>100</v>
      </c>
      <c r="R2453" t="n">
        <v>0.2615</v>
      </c>
      <c r="S2453">
        <f>IMAGE("https://mitra.stanford.edu/kundaje/oak/projects/neuro-variants/variant_position/credible/roussos_2024/variant_figures/roussos_2024.adolescence.Astrocyte/rs8184990_count_position.png",4,220,900)</f>
        <v/>
      </c>
      <c r="T2453">
        <f>IMAGE("https://mitra.stanford.edu/kundaje/oak/projects/neuro-variants/variant_position/credible/roussos_2024/variant_figures/roussos_2024.adolescence.Astrocyte/rs8184990_profile_position.png",4,220,900)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0.171677862</v>
      </c>
      <c r="G2454" t="n">
        <v>0.0395932822246294</v>
      </c>
      <c r="H2454" t="n">
        <v>0.0355905171751082</v>
      </c>
      <c r="I2454" t="n">
        <v>0.0231753042979056</v>
      </c>
      <c r="J2454" t="n">
        <v>0.6282497107082456</v>
      </c>
      <c r="K2454" t="n">
        <v>0.0289478555704889</v>
      </c>
      <c r="L2454" t="b">
        <v>0</v>
      </c>
      <c r="M2454" t="b">
        <v>0</v>
      </c>
      <c r="N2454" t="inlineStr">
        <is>
          <t>alt</t>
        </is>
      </c>
      <c r="O2454" t="n">
        <v>-5</v>
      </c>
      <c r="P2454" t="n">
        <v>0.0002136</v>
      </c>
      <c r="Q2454" t="n">
        <v>-35</v>
      </c>
      <c r="R2454" t="n">
        <v>0.1034</v>
      </c>
      <c r="S2454">
        <f>IMAGE("https://mitra.stanford.edu/kundaje/oak/projects/neuro-variants/variant_position/credible/roussos_2024/variant_figures/roussos_2024.adolescence.Astrocyte/rs910799_count_position.png",4,220,900)</f>
        <v/>
      </c>
      <c r="T2454">
        <f>IMAGE("https://mitra.stanford.edu/kundaje/oak/projects/neuro-variants/variant_position/credible/roussos_2024/variant_figures/roussos_2024.adolescence.Astrocyte/rs910799_profile_position.png",4,220,900)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-0.174988956</v>
      </c>
      <c r="G2455" t="n">
        <v>0.026421369244072</v>
      </c>
      <c r="H2455" t="n">
        <v>0.0596437411955963</v>
      </c>
      <c r="I2455" t="n">
        <v>0.0024476853569156</v>
      </c>
      <c r="J2455" t="n">
        <v>0.606598819096223</v>
      </c>
      <c r="K2455" t="n">
        <v>0.0323578208496354</v>
      </c>
      <c r="L2455" t="b">
        <v>1</v>
      </c>
      <c r="M2455" t="b">
        <v>1</v>
      </c>
      <c r="N2455" t="inlineStr">
        <is>
          <t>ref</t>
        </is>
      </c>
      <c r="O2455" t="n">
        <v>-75</v>
      </c>
      <c r="P2455" t="n">
        <v>0.00421</v>
      </c>
      <c r="Q2455" t="n">
        <v>100</v>
      </c>
      <c r="R2455" t="n">
        <v>0.06945999999999999</v>
      </c>
      <c r="S2455">
        <f>IMAGE("https://mitra.stanford.edu/kundaje/oak/projects/neuro-variants/variant_position/credible/roussos_2024/variant_figures/roussos_2024.adolescence.Astrocyte/rs910800_count_position.png",4,220,900)</f>
        <v/>
      </c>
      <c r="T2455">
        <f>IMAGE("https://mitra.stanford.edu/kundaje/oak/projects/neuro-variants/variant_position/credible/roussos_2024/variant_figures/roussos_2024.adolescence.Astrocyte/rs910800_profile_position.png",4,220,900)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-0.0502980008</v>
      </c>
      <c r="G2456" t="n">
        <v>0.2564748325911702</v>
      </c>
      <c r="H2456" t="n">
        <v>0.0123146449473215</v>
      </c>
      <c r="I2456" t="n">
        <v>0.5207999038525297</v>
      </c>
      <c r="J2456" t="n">
        <v>0.0378630982405126</v>
      </c>
      <c r="K2456" t="n">
        <v>0.4751912173289483</v>
      </c>
      <c r="L2456" t="b">
        <v>0</v>
      </c>
      <c r="M2456" t="b">
        <v>0</v>
      </c>
      <c r="N2456" t="inlineStr">
        <is>
          <t>ref</t>
        </is>
      </c>
      <c r="O2456" t="n">
        <v>90</v>
      </c>
      <c r="P2456" t="n">
        <v>0.008514000000000001</v>
      </c>
      <c r="Q2456" t="n">
        <v>-25</v>
      </c>
      <c r="R2456" t="n">
        <v>0.1316</v>
      </c>
      <c r="S2456">
        <f>IMAGE("https://mitra.stanford.edu/kundaje/oak/projects/neuro-variants/variant_position/credible/roussos_2024/variant_figures/roussos_2024.adolescence.Astrocyte/rs768618_count_position.png",4,220,900)</f>
        <v/>
      </c>
      <c r="T2456">
        <f>IMAGE("https://mitra.stanford.edu/kundaje/oak/projects/neuro-variants/variant_position/credible/roussos_2024/variant_figures/roussos_2024.adolescence.Astrocyte/rs768618_profile_position.png",4,220,900)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-0.00110049334</v>
      </c>
      <c r="G2457" t="n">
        <v>0.8086405736806034</v>
      </c>
      <c r="H2457" t="n">
        <v>0.0197688305069333</v>
      </c>
      <c r="I2457" t="n">
        <v>0.1451311063281413</v>
      </c>
      <c r="J2457" t="n">
        <v>0.0095555291813784</v>
      </c>
      <c r="K2457" t="n">
        <v>0.6706794837074175</v>
      </c>
      <c r="L2457" t="b">
        <v>0</v>
      </c>
      <c r="M2457" t="b">
        <v>0</v>
      </c>
      <c r="N2457" t="inlineStr">
        <is>
          <t>ref</t>
        </is>
      </c>
      <c r="O2457" t="n">
        <v>-95</v>
      </c>
      <c r="P2457" t="n">
        <v>0.01131</v>
      </c>
      <c r="Q2457" t="n">
        <v>-100</v>
      </c>
      <c r="R2457" t="n">
        <v>0.196</v>
      </c>
      <c r="S2457">
        <f>IMAGE("https://mitra.stanford.edu/kundaje/oak/projects/neuro-variants/variant_position/credible/roussos_2024/variant_figures/roussos_2024.adolescence.Astrocyte/rs768619_count_position.png",4,220,900)</f>
        <v/>
      </c>
      <c r="T2457">
        <f>IMAGE("https://mitra.stanford.edu/kundaje/oak/projects/neuro-variants/variant_position/credible/roussos_2024/variant_figures/roussos_2024.adolescence.Astrocyte/rs768619_profile_position.png",4,220,900)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0.0069695756599999</v>
      </c>
      <c r="G2458" t="n">
        <v>0.795059219729264</v>
      </c>
      <c r="H2458" t="n">
        <v>0.0082866520202217</v>
      </c>
      <c r="I2458" t="n">
        <v>0.902205479574304</v>
      </c>
      <c r="J2458" t="n">
        <v>0.0087833427291338</v>
      </c>
      <c r="K2458" t="n">
        <v>0.6760307895386823</v>
      </c>
      <c r="L2458" t="b">
        <v>0</v>
      </c>
      <c r="M2458" t="b">
        <v>0</v>
      </c>
      <c r="N2458" t="inlineStr">
        <is>
          <t>alt</t>
        </is>
      </c>
      <c r="O2458" t="n">
        <v>70</v>
      </c>
      <c r="P2458" t="n">
        <v>0.03757</v>
      </c>
      <c r="Q2458" t="n">
        <v>-60</v>
      </c>
      <c r="R2458" t="n">
        <v>0.09717000000000001</v>
      </c>
      <c r="S2458">
        <f>IMAGE("https://mitra.stanford.edu/kundaje/oak/projects/neuro-variants/variant_position/credible/roussos_2024/variant_figures/roussos_2024.adolescence.Astrocyte/rs8138687_count_position.png",4,220,900)</f>
        <v/>
      </c>
      <c r="T2458">
        <f>IMAGE("https://mitra.stanford.edu/kundaje/oak/projects/neuro-variants/variant_position/credible/roussos_2024/variant_figures/roussos_2024.adolescence.Astrocyte/rs8138687_profile_position.png",4,220,900)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-0.00432826172</v>
      </c>
      <c r="G2459" t="n">
        <v>0.8500724105530348</v>
      </c>
      <c r="H2459" t="n">
        <v>0.0298821385234222</v>
      </c>
      <c r="I2459" t="n">
        <v>0.0320618191222556</v>
      </c>
      <c r="J2459" t="n">
        <v>0.085978992967985</v>
      </c>
      <c r="K2459" t="n">
        <v>0.3472377113435657</v>
      </c>
      <c r="L2459" t="b">
        <v>0</v>
      </c>
      <c r="M2459" t="b">
        <v>0</v>
      </c>
      <c r="N2459" t="inlineStr">
        <is>
          <t>ref</t>
        </is>
      </c>
      <c r="O2459" t="n">
        <v>95</v>
      </c>
      <c r="P2459" t="n">
        <v>0.01855</v>
      </c>
      <c r="Q2459" t="n">
        <v>90</v>
      </c>
      <c r="R2459" t="n">
        <v>0.1885</v>
      </c>
      <c r="S2459">
        <f>IMAGE("https://mitra.stanford.edu/kundaje/oak/projects/neuro-variants/variant_position/credible/roussos_2024/variant_figures/roussos_2024.adolescence.Astrocyte/rs3883952_count_position.png",4,220,900)</f>
        <v/>
      </c>
      <c r="T2459">
        <f>IMAGE("https://mitra.stanford.edu/kundaje/oak/projects/neuro-variants/variant_position/credible/roussos_2024/variant_figures/roussos_2024.adolescence.Astrocyte/rs3883952_profile_position.png",4,220,900)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-0.0397201129999999</v>
      </c>
      <c r="G2460" t="n">
        <v>0.3292623994328713</v>
      </c>
      <c r="H2460" t="n">
        <v>0.0130073702478662</v>
      </c>
      <c r="I2460" t="n">
        <v>0.4562172000109035</v>
      </c>
      <c r="J2460" t="n">
        <v>0.3314081832477821</v>
      </c>
      <c r="K2460" t="n">
        <v>0.1173057185662928</v>
      </c>
      <c r="L2460" t="b">
        <v>0</v>
      </c>
      <c r="M2460" t="b">
        <v>0</v>
      </c>
      <c r="N2460" t="inlineStr">
        <is>
          <t>ref</t>
        </is>
      </c>
      <c r="O2460" t="n">
        <v>90</v>
      </c>
      <c r="P2460" t="n">
        <v>0.00927</v>
      </c>
      <c r="Q2460" t="n">
        <v>-100</v>
      </c>
      <c r="R2460" t="n">
        <v>0.125</v>
      </c>
      <c r="S2460">
        <f>IMAGE("https://mitra.stanford.edu/kundaje/oak/projects/neuro-variants/variant_position/credible/roussos_2024/variant_figures/roussos_2024.adolescence.Astrocyte/rs8137331_count_position.png",4,220,900)</f>
        <v/>
      </c>
      <c r="T2460">
        <f>IMAGE("https://mitra.stanford.edu/kundaje/oak/projects/neuro-variants/variant_position/credible/roussos_2024/variant_figures/roussos_2024.adolescence.Astrocyte/rs8137331_profile_position.png",4,220,900)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-0.1433178792</v>
      </c>
      <c r="G2461" t="n">
        <v>0.0486112032888515</v>
      </c>
      <c r="H2461" t="n">
        <v>0.0331846481215024</v>
      </c>
      <c r="I2461" t="n">
        <v>0.0229591901913327</v>
      </c>
      <c r="J2461" t="n">
        <v>0.315233065305759</v>
      </c>
      <c r="K2461" t="n">
        <v>0.1268342955627222</v>
      </c>
      <c r="L2461" t="b">
        <v>0</v>
      </c>
      <c r="M2461" t="b">
        <v>0</v>
      </c>
      <c r="N2461" t="inlineStr">
        <is>
          <t>ref</t>
        </is>
      </c>
      <c r="O2461" t="n">
        <v>100</v>
      </c>
      <c r="P2461" t="n">
        <v>0.01274</v>
      </c>
      <c r="Q2461" t="n">
        <v>100</v>
      </c>
      <c r="R2461" t="n">
        <v>0.2773</v>
      </c>
      <c r="S2461">
        <f>IMAGE("https://mitra.stanford.edu/kundaje/oak/projects/neuro-variants/variant_position/credible/roussos_2024/variant_figures/roussos_2024.adolescence.Astrocyte/rs7284417_count_position.png",4,220,900)</f>
        <v/>
      </c>
      <c r="T2461">
        <f>IMAGE("https://mitra.stanford.edu/kundaje/oak/projects/neuro-variants/variant_position/credible/roussos_2024/variant_figures/roussos_2024.adolescence.Astrocyte/rs7284417_profile_position.png",4,220,900)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-0.0162181163399999</v>
      </c>
      <c r="G2462" t="n">
        <v>0.6371805687225163</v>
      </c>
      <c r="H2462" t="n">
        <v>0.0322379668887407</v>
      </c>
      <c r="I2462" t="n">
        <v>0.0239387923589684</v>
      </c>
      <c r="J2462" t="n">
        <v>0.0016600896062664</v>
      </c>
      <c r="K2462" t="n">
        <v>0.8469082284518697</v>
      </c>
      <c r="L2462" t="b">
        <v>0</v>
      </c>
      <c r="M2462" t="b">
        <v>0</v>
      </c>
      <c r="N2462" t="inlineStr">
        <is>
          <t>ref</t>
        </is>
      </c>
      <c r="O2462" t="n">
        <v>95</v>
      </c>
      <c r="P2462" t="n">
        <v>0.02121</v>
      </c>
      <c r="Q2462" t="n">
        <v>55</v>
      </c>
      <c r="R2462" t="n">
        <v>0.04956</v>
      </c>
      <c r="S2462">
        <f>IMAGE("https://mitra.stanford.edu/kundaje/oak/projects/neuro-variants/variant_position/credible/roussos_2024/variant_figures/roussos_2024.adolescence.Astrocyte/rs6010043_count_position.png",4,220,900)</f>
        <v/>
      </c>
      <c r="T2462">
        <f>IMAGE("https://mitra.stanford.edu/kundaje/oak/projects/neuro-variants/variant_position/credible/roussos_2024/variant_figures/roussos_2024.adolescence.Astrocyte/rs6010043_profile_position.png",4,220,900)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0.0189399468</v>
      </c>
      <c r="G2463" t="n">
        <v>0.5566845687622624</v>
      </c>
      <c r="H2463" t="n">
        <v>0.0097092527819221</v>
      </c>
      <c r="I2463" t="n">
        <v>0.7822628837134328</v>
      </c>
      <c r="J2463" t="n">
        <v>0.05688366020829</v>
      </c>
      <c r="K2463" t="n">
        <v>0.4176138947531968</v>
      </c>
      <c r="L2463" t="b">
        <v>0</v>
      </c>
      <c r="M2463" t="b">
        <v>0</v>
      </c>
      <c r="N2463" t="inlineStr">
        <is>
          <t>alt</t>
        </is>
      </c>
      <c r="O2463" t="n">
        <v>100</v>
      </c>
      <c r="P2463" t="n">
        <v>0.01567</v>
      </c>
      <c r="Q2463" t="n">
        <v>-65</v>
      </c>
      <c r="R2463" t="n">
        <v>0.09429999999999999</v>
      </c>
      <c r="S2463">
        <f>IMAGE("https://mitra.stanford.edu/kundaje/oak/projects/neuro-variants/variant_position/credible/roussos_2024/variant_figures/roussos_2024.adolescence.Astrocyte/rs4685508_count_position.png",4,220,900)</f>
        <v/>
      </c>
      <c r="T2463">
        <f>IMAGE("https://mitra.stanford.edu/kundaje/oak/projects/neuro-variants/variant_position/credible/roussos_2024/variant_figures/roussos_2024.adolescence.Astrocyte/rs4685508_profile_position.png",4,220,900)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0.0247923082799999</v>
      </c>
      <c r="G2464" t="n">
        <v>0.4515940763514465</v>
      </c>
      <c r="H2464" t="n">
        <v>0.0107997591605768</v>
      </c>
      <c r="I2464" t="n">
        <v>0.6715779303093237</v>
      </c>
      <c r="J2464" t="n">
        <v>0.0415927365516422</v>
      </c>
      <c r="K2464" t="n">
        <v>0.4693813984484221</v>
      </c>
      <c r="L2464" t="b">
        <v>0</v>
      </c>
      <c r="M2464" t="b">
        <v>0</v>
      </c>
      <c r="N2464" t="inlineStr">
        <is>
          <t>alt</t>
        </is>
      </c>
      <c r="O2464" t="n">
        <v>-100</v>
      </c>
      <c r="P2464" t="n">
        <v>0.003029</v>
      </c>
      <c r="Q2464" t="n">
        <v>-45</v>
      </c>
      <c r="R2464" t="n">
        <v>0.1375</v>
      </c>
      <c r="S2464">
        <f>IMAGE("https://mitra.stanford.edu/kundaje/oak/projects/neuro-variants/variant_position/credible/roussos_2024/variant_figures/roussos_2024.adolescence.Astrocyte/rs12638682_count_position.png",4,220,900)</f>
        <v/>
      </c>
      <c r="T2464">
        <f>IMAGE("https://mitra.stanford.edu/kundaje/oak/projects/neuro-variants/variant_position/credible/roussos_2024/variant_figures/roussos_2024.adolescence.Astrocyte/rs12638682_profile_position.png",4,220,900)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-0.1080894633999999</v>
      </c>
      <c r="G2465" t="n">
        <v>0.0792226092014436</v>
      </c>
      <c r="H2465" t="n">
        <v>0.0246061829111034</v>
      </c>
      <c r="I2465" t="n">
        <v>0.08090212784155409</v>
      </c>
      <c r="J2465" t="n">
        <v>0.0009858172862949001</v>
      </c>
      <c r="K2465" t="n">
        <v>0.8772030247767727</v>
      </c>
      <c r="L2465" t="b">
        <v>0</v>
      </c>
      <c r="M2465" t="b">
        <v>0</v>
      </c>
      <c r="N2465" t="inlineStr">
        <is>
          <t>ref</t>
        </is>
      </c>
      <c r="O2465" t="n">
        <v>50</v>
      </c>
      <c r="P2465" t="n">
        <v>0.001465</v>
      </c>
      <c r="Q2465" t="n">
        <v>30</v>
      </c>
      <c r="R2465" t="n">
        <v>0.0252</v>
      </c>
      <c r="S2465">
        <f>IMAGE("https://mitra.stanford.edu/kundaje/oak/projects/neuro-variants/variant_position/credible/roussos_2024/variant_figures/roussos_2024.adolescence.Astrocyte/rs56251018_count_position.png",4,220,900)</f>
        <v/>
      </c>
      <c r="T2465">
        <f>IMAGE("https://mitra.stanford.edu/kundaje/oak/projects/neuro-variants/variant_position/credible/roussos_2024/variant_figures/roussos_2024.adolescence.Astrocyte/rs56251018_profile_position.png",4,220,900)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0.4679091000000001</v>
      </c>
      <c r="G2466" t="n">
        <v>0.0017540227463613</v>
      </c>
      <c r="H2466" t="n">
        <v>0.0712207692624774</v>
      </c>
      <c r="I2466" t="n">
        <v>0.0011458904845271</v>
      </c>
      <c r="J2466" t="n">
        <v>0.3341928018277305</v>
      </c>
      <c r="K2466" t="n">
        <v>0.1173749478667718</v>
      </c>
      <c r="L2466" t="b">
        <v>1</v>
      </c>
      <c r="M2466" t="b">
        <v>1</v>
      </c>
      <c r="N2466" t="inlineStr">
        <is>
          <t>alt</t>
        </is>
      </c>
      <c r="O2466" t="n">
        <v>-75</v>
      </c>
      <c r="P2466" t="n">
        <v>0.010956</v>
      </c>
      <c r="Q2466" t="n">
        <v>-30</v>
      </c>
      <c r="R2466" t="n">
        <v>0.09520000000000001</v>
      </c>
      <c r="S2466">
        <f>IMAGE("https://mitra.stanford.edu/kundaje/oak/projects/neuro-variants/variant_position/credible/roussos_2024/variant_figures/roussos_2024.adolescence.Astrocyte/rs1720179_count_position.png",4,220,900)</f>
        <v/>
      </c>
      <c r="T2466">
        <f>IMAGE("https://mitra.stanford.edu/kundaje/oak/projects/neuro-variants/variant_position/credible/roussos_2024/variant_figures/roussos_2024.adolescence.Astrocyte/rs1720179_profile_position.png",4,220,900)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-0.00712394008</v>
      </c>
      <c r="G2467" t="n">
        <v>0.8242113699146283</v>
      </c>
      <c r="H2467" t="n">
        <v>0.0128121558020532</v>
      </c>
      <c r="I2467" t="n">
        <v>0.4852689189015086</v>
      </c>
      <c r="J2467" t="n">
        <v>0.0007595762988457</v>
      </c>
      <c r="K2467" t="n">
        <v>0.8904972489647938</v>
      </c>
      <c r="L2467" t="b">
        <v>0</v>
      </c>
      <c r="M2467" t="b">
        <v>0</v>
      </c>
      <c r="N2467" t="inlineStr">
        <is>
          <t>ref</t>
        </is>
      </c>
      <c r="O2467" t="n">
        <v>65</v>
      </c>
      <c r="P2467" t="n">
        <v>0.01508</v>
      </c>
      <c r="Q2467" t="n">
        <v>85</v>
      </c>
      <c r="R2467" t="n">
        <v>0.06322999999999999</v>
      </c>
      <c r="S2467">
        <f>IMAGE("https://mitra.stanford.edu/kundaje/oak/projects/neuro-variants/variant_position/credible/roussos_2024/variant_figures/roussos_2024.adolescence.Astrocyte/rs1685495_count_position.png",4,220,900)</f>
        <v/>
      </c>
      <c r="T2467">
        <f>IMAGE("https://mitra.stanford.edu/kundaje/oak/projects/neuro-variants/variant_position/credible/roussos_2024/variant_figures/roussos_2024.adolescence.Astrocyte/rs1685495_profile_position.png",4,220,900)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-0.0087985959399999</v>
      </c>
      <c r="G2468" t="n">
        <v>0.7669089872097227</v>
      </c>
      <c r="H2468" t="n">
        <v>0.0170459438121513</v>
      </c>
      <c r="I2468" t="n">
        <v>0.2249445429228951</v>
      </c>
      <c r="J2468" t="n">
        <v>0.0563963148681125</v>
      </c>
      <c r="K2468" t="n">
        <v>0.4254439305220736</v>
      </c>
      <c r="L2468" t="b">
        <v>0</v>
      </c>
      <c r="M2468" t="b">
        <v>0</v>
      </c>
      <c r="N2468" t="inlineStr">
        <is>
          <t>ref</t>
        </is>
      </c>
      <c r="O2468" t="n">
        <v>95</v>
      </c>
      <c r="P2468" t="n">
        <v>0.006905</v>
      </c>
      <c r="Q2468" t="n">
        <v>-35</v>
      </c>
      <c r="R2468" t="n">
        <v>0.03644</v>
      </c>
      <c r="S2468">
        <f>IMAGE("https://mitra.stanford.edu/kundaje/oak/projects/neuro-variants/variant_position/credible/roussos_2024/variant_figures/roussos_2024.adolescence.Astrocyte/rs4685517_count_position.png",4,220,900)</f>
        <v/>
      </c>
      <c r="T2468">
        <f>IMAGE("https://mitra.stanford.edu/kundaje/oak/projects/neuro-variants/variant_position/credible/roussos_2024/variant_figures/roussos_2024.adolescence.Astrocyte/rs4685517_profile_position.png",4,220,900)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0.0314041146</v>
      </c>
      <c r="G2469" t="n">
        <v>0.4007349286654063</v>
      </c>
      <c r="H2469" t="n">
        <v>0.0259910995233798</v>
      </c>
      <c r="I2469" t="n">
        <v>0.0547073071370815</v>
      </c>
      <c r="J2469" t="n">
        <v>0.0042080823665548</v>
      </c>
      <c r="K2469" t="n">
        <v>0.7623625382684842</v>
      </c>
      <c r="L2469" t="b">
        <v>0</v>
      </c>
      <c r="M2469" t="b">
        <v>0</v>
      </c>
      <c r="N2469" t="inlineStr">
        <is>
          <t>alt</t>
        </is>
      </c>
      <c r="O2469" t="n">
        <v>-85</v>
      </c>
      <c r="P2469" t="n">
        <v>0.006958</v>
      </c>
      <c r="Q2469" t="n">
        <v>90</v>
      </c>
      <c r="R2469" t="n">
        <v>0.0707</v>
      </c>
      <c r="S2469">
        <f>IMAGE("https://mitra.stanford.edu/kundaje/oak/projects/neuro-variants/variant_position/credible/roussos_2024/variant_figures/roussos_2024.adolescence.Astrocyte/rs6787394_count_position.png",4,220,900)</f>
        <v/>
      </c>
      <c r="T2469">
        <f>IMAGE("https://mitra.stanford.edu/kundaje/oak/projects/neuro-variants/variant_position/credible/roussos_2024/variant_figures/roussos_2024.adolescence.Astrocyte/rs6787394_profile_position.png",4,220,900)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0.0301507167999999</v>
      </c>
      <c r="G2470" t="n">
        <v>0.4088766816730137</v>
      </c>
      <c r="H2470" t="n">
        <v>0.0219243090985616</v>
      </c>
      <c r="I2470" t="n">
        <v>0.1018241390677735</v>
      </c>
      <c r="J2470" t="n">
        <v>0.0396211019790522</v>
      </c>
      <c r="K2470" t="n">
        <v>0.4754299203001969</v>
      </c>
      <c r="L2470" t="b">
        <v>0</v>
      </c>
      <c r="M2470" t="b">
        <v>0</v>
      </c>
      <c r="N2470" t="inlineStr">
        <is>
          <t>alt</t>
        </is>
      </c>
      <c r="O2470" t="n">
        <v>15</v>
      </c>
      <c r="P2470" t="n">
        <v>0.002563</v>
      </c>
      <c r="Q2470" t="n">
        <v>-20</v>
      </c>
      <c r="R2470" t="n">
        <v>0.0443</v>
      </c>
      <c r="S2470">
        <f>IMAGE("https://mitra.stanford.edu/kundaje/oak/projects/neuro-variants/variant_position/credible/roussos_2024/variant_figures/roussos_2024.adolescence.Astrocyte/rs67888396_count_position.png",4,220,900)</f>
        <v/>
      </c>
      <c r="T2470">
        <f>IMAGE("https://mitra.stanford.edu/kundaje/oak/projects/neuro-variants/variant_position/credible/roussos_2024/variant_figures/roussos_2024.adolescence.Astrocyte/rs67888396_profile_position.png",4,220,900)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0.0215441851</v>
      </c>
      <c r="G2471" t="n">
        <v>0.535626057715666</v>
      </c>
      <c r="H2471" t="n">
        <v>0.0242516187029228</v>
      </c>
      <c r="I2471" t="n">
        <v>0.07012427918889649</v>
      </c>
      <c r="J2471" t="n">
        <v>0.0320995163635284</v>
      </c>
      <c r="K2471" t="n">
        <v>0.5085141869120432</v>
      </c>
      <c r="L2471" t="b">
        <v>0</v>
      </c>
      <c r="M2471" t="b">
        <v>0</v>
      </c>
      <c r="N2471" t="inlineStr">
        <is>
          <t>alt</t>
        </is>
      </c>
      <c r="O2471" t="n">
        <v>-70</v>
      </c>
      <c r="P2471" t="n">
        <v>0.1539</v>
      </c>
      <c r="Q2471" t="n">
        <v>-100</v>
      </c>
      <c r="R2471" t="n">
        <v>0.3052</v>
      </c>
      <c r="S2471">
        <f>IMAGE("https://mitra.stanford.edu/kundaje/oak/projects/neuro-variants/variant_position/credible/roussos_2024/variant_figures/roussos_2024.adolescence.Astrocyte/rs67733815_count_position.png",4,220,900)</f>
        <v/>
      </c>
      <c r="T2471">
        <f>IMAGE("https://mitra.stanford.edu/kundaje/oak/projects/neuro-variants/variant_position/credible/roussos_2024/variant_figures/roussos_2024.adolescence.Astrocyte/rs67733815_profile_position.png",4,220,900)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-0.00013136578</v>
      </c>
      <c r="G2472" t="n">
        <v>0.5472220035954843</v>
      </c>
      <c r="H2472" t="n">
        <v>0.01402940289559</v>
      </c>
      <c r="I2472" t="n">
        <v>0.3853428238533525</v>
      </c>
      <c r="J2472" t="n">
        <v>0.0003315728570156</v>
      </c>
      <c r="K2472" t="n">
        <v>0.9380408196976632</v>
      </c>
      <c r="L2472" t="b">
        <v>0</v>
      </c>
      <c r="M2472" t="b">
        <v>0</v>
      </c>
      <c r="N2472" t="inlineStr">
        <is>
          <t>ref</t>
        </is>
      </c>
      <c r="O2472" t="n">
        <v>85</v>
      </c>
      <c r="P2472" t="n">
        <v>0.000885</v>
      </c>
      <c r="Q2472" t="n">
        <v>-30</v>
      </c>
      <c r="R2472" t="n">
        <v>0.01611</v>
      </c>
      <c r="S2472">
        <f>IMAGE("https://mitra.stanford.edu/kundaje/oak/projects/neuro-variants/variant_position/credible/roussos_2024/variant_figures/roussos_2024.adolescence.Astrocyte/rs1072848_count_position.png",4,220,900)</f>
        <v/>
      </c>
      <c r="T2472">
        <f>IMAGE("https://mitra.stanford.edu/kundaje/oak/projects/neuro-variants/variant_position/credible/roussos_2024/variant_figures/roussos_2024.adolescence.Astrocyte/rs1072848_profile_position.png",4,220,900)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-0.0151687362</v>
      </c>
      <c r="G2473" t="n">
        <v>0.6424708560797845</v>
      </c>
      <c r="H2473" t="n">
        <v>0.0084206898912664</v>
      </c>
      <c r="I2473" t="n">
        <v>0.8915306237053237</v>
      </c>
      <c r="J2473" t="n">
        <v>0.0018974571996557</v>
      </c>
      <c r="K2473" t="n">
        <v>0.8281935266279836</v>
      </c>
      <c r="L2473" t="b">
        <v>0</v>
      </c>
      <c r="M2473" t="b">
        <v>0</v>
      </c>
      <c r="N2473" t="inlineStr">
        <is>
          <t>ref</t>
        </is>
      </c>
      <c r="O2473" t="n">
        <v>100</v>
      </c>
      <c r="P2473" t="n">
        <v>0.01294</v>
      </c>
      <c r="Q2473" t="n">
        <v>-80</v>
      </c>
      <c r="R2473" t="n">
        <v>0.08545</v>
      </c>
      <c r="S2473">
        <f>IMAGE("https://mitra.stanford.edu/kundaje/oak/projects/neuro-variants/variant_position/credible/roussos_2024/variant_figures/roussos_2024.adolescence.Astrocyte/rs7642870_count_position.png",4,220,900)</f>
        <v/>
      </c>
      <c r="T2473">
        <f>IMAGE("https://mitra.stanford.edu/kundaje/oak/projects/neuro-variants/variant_position/credible/roussos_2024/variant_figures/roussos_2024.adolescence.Astrocyte/rs7642870_profile_position.png",4,220,900)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0.001627520816</v>
      </c>
      <c r="G2474" t="n">
        <v>0.8661017805224139</v>
      </c>
      <c r="H2474" t="n">
        <v>0.0136461419946512</v>
      </c>
      <c r="I2474" t="n">
        <v>0.4124152080339303</v>
      </c>
      <c r="J2474" t="n">
        <v>0.0003308310832863</v>
      </c>
      <c r="K2474" t="n">
        <v>0.9365724226943672</v>
      </c>
      <c r="L2474" t="b">
        <v>0</v>
      </c>
      <c r="M2474" t="b">
        <v>0</v>
      </c>
      <c r="N2474" t="inlineStr">
        <is>
          <t>alt</t>
        </is>
      </c>
      <c r="O2474" t="n">
        <v>-15</v>
      </c>
      <c r="P2474" t="n">
        <v>0.000431</v>
      </c>
      <c r="Q2474" t="n">
        <v>65</v>
      </c>
      <c r="R2474" t="n">
        <v>0.1464</v>
      </c>
      <c r="S2474">
        <f>IMAGE("https://mitra.stanford.edu/kundaje/oak/projects/neuro-variants/variant_position/credible/roussos_2024/variant_figures/roussos_2024.adolescence.Astrocyte/rs56345807_count_position.png",4,220,900)</f>
        <v/>
      </c>
      <c r="T2474">
        <f>IMAGE("https://mitra.stanford.edu/kundaje/oak/projects/neuro-variants/variant_position/credible/roussos_2024/variant_figures/roussos_2024.adolescence.Astrocyte/rs56345807_profile_position.png",4,220,900)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-0.0304978954</v>
      </c>
      <c r="G2475" t="n">
        <v>0.4108129868797484</v>
      </c>
      <c r="H2475" t="n">
        <v>0.0148916341900386</v>
      </c>
      <c r="I2475" t="n">
        <v>0.330675683393957</v>
      </c>
      <c r="J2475" t="n">
        <v>0.096983948016497</v>
      </c>
      <c r="K2475" t="n">
        <v>0.3450984616956151</v>
      </c>
      <c r="L2475" t="b">
        <v>0</v>
      </c>
      <c r="M2475" t="b">
        <v>0</v>
      </c>
      <c r="N2475" t="inlineStr">
        <is>
          <t>ref</t>
        </is>
      </c>
      <c r="O2475" t="n">
        <v>-75</v>
      </c>
      <c r="P2475" t="n">
        <v>0.002064</v>
      </c>
      <c r="Q2475" t="n">
        <v>15</v>
      </c>
      <c r="R2475" t="n">
        <v>0.0348</v>
      </c>
      <c r="S2475">
        <f>IMAGE("https://mitra.stanford.edu/kundaje/oak/projects/neuro-variants/variant_position/credible/roussos_2024/variant_figures/roussos_2024.adolescence.Astrocyte/rs138823185_count_position.png",4,220,900)</f>
        <v/>
      </c>
      <c r="T2475">
        <f>IMAGE("https://mitra.stanford.edu/kundaje/oak/projects/neuro-variants/variant_position/credible/roussos_2024/variant_figures/roussos_2024.adolescence.Astrocyte/rs138823185_profile_position.png",4,220,900)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0.226179674</v>
      </c>
      <c r="G2476" t="n">
        <v>0.0133098394980671</v>
      </c>
      <c r="H2476" t="n">
        <v>0.0280265098974284</v>
      </c>
      <c r="I2476" t="n">
        <v>0.0437811789083178</v>
      </c>
      <c r="J2476" t="n">
        <v>0.1109100080111562</v>
      </c>
      <c r="K2476" t="n">
        <v>0.3089421094525643</v>
      </c>
      <c r="L2476" t="b">
        <v>1</v>
      </c>
      <c r="M2476" t="b">
        <v>0</v>
      </c>
      <c r="N2476" t="inlineStr">
        <is>
          <t>alt</t>
        </is>
      </c>
      <c r="O2476" t="n">
        <v>-45</v>
      </c>
      <c r="P2476" t="n">
        <v>0.00426</v>
      </c>
      <c r="Q2476" t="n">
        <v>50</v>
      </c>
      <c r="R2476" t="n">
        <v>0.06824</v>
      </c>
      <c r="S2476">
        <f>IMAGE("https://mitra.stanford.edu/kundaje/oak/projects/neuro-variants/variant_position/credible/roussos_2024/variant_figures/roussos_2024.adolescence.Astrocyte/rs9874028_count_position.png",4,220,900)</f>
        <v/>
      </c>
      <c r="T2476">
        <f>IMAGE("https://mitra.stanford.edu/kundaje/oak/projects/neuro-variants/variant_position/credible/roussos_2024/variant_figures/roussos_2024.adolescence.Astrocyte/rs9874028_profile_position.png",4,220,900)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0.1061029897999999</v>
      </c>
      <c r="G2477" t="n">
        <v>0.0700529033801346</v>
      </c>
      <c r="H2477" t="n">
        <v>0.0153989773868162</v>
      </c>
      <c r="I2477" t="n">
        <v>0.3001389485231848</v>
      </c>
      <c r="J2477" t="n">
        <v>0.0075015577248315</v>
      </c>
      <c r="K2477" t="n">
        <v>0.690094866736054</v>
      </c>
      <c r="L2477" t="b">
        <v>0</v>
      </c>
      <c r="M2477" t="b">
        <v>0</v>
      </c>
      <c r="N2477" t="inlineStr">
        <is>
          <t>alt</t>
        </is>
      </c>
      <c r="O2477" t="n">
        <v>5</v>
      </c>
      <c r="P2477" t="n">
        <v>0.0001106</v>
      </c>
      <c r="Q2477" t="n">
        <v>-65</v>
      </c>
      <c r="R2477" t="n">
        <v>0.01245</v>
      </c>
      <c r="S2477">
        <f>IMAGE("https://mitra.stanford.edu/kundaje/oak/projects/neuro-variants/variant_position/credible/roussos_2024/variant_figures/roussos_2024.adolescence.Astrocyte/rs6787756_count_position.png",4,220,900)</f>
        <v/>
      </c>
      <c r="T2477">
        <f>IMAGE("https://mitra.stanford.edu/kundaje/oak/projects/neuro-variants/variant_position/credible/roussos_2024/variant_figures/roussos_2024.adolescence.Astrocyte/rs6787756_profile_position.png",4,220,900)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0.02597908686</v>
      </c>
      <c r="G2478" t="n">
        <v>0.41866934453981</v>
      </c>
      <c r="H2478" t="n">
        <v>0.0138288321978266</v>
      </c>
      <c r="I2478" t="n">
        <v>0.4005093002536068</v>
      </c>
      <c r="J2478" t="n">
        <v>0.000184701658606</v>
      </c>
      <c r="K2478" t="n">
        <v>0.9714080246346488</v>
      </c>
      <c r="L2478" t="b">
        <v>0</v>
      </c>
      <c r="M2478" t="b">
        <v>0</v>
      </c>
      <c r="N2478" t="inlineStr">
        <is>
          <t>alt</t>
        </is>
      </c>
      <c r="O2478" t="n">
        <v>-100</v>
      </c>
      <c r="P2478" t="n">
        <v>0.01804</v>
      </c>
      <c r="Q2478" t="n">
        <v>-100</v>
      </c>
      <c r="R2478" t="n">
        <v>0.1235</v>
      </c>
      <c r="S2478">
        <f>IMAGE("https://mitra.stanford.edu/kundaje/oak/projects/neuro-variants/variant_position/credible/roussos_2024/variant_figures/roussos_2024.adolescence.Astrocyte/rs9681617_count_position.png",4,220,900)</f>
        <v/>
      </c>
      <c r="T2478">
        <f>IMAGE("https://mitra.stanford.edu/kundaje/oak/projects/neuro-variants/variant_position/credible/roussos_2024/variant_figures/roussos_2024.adolescence.Astrocyte/rs9681617_profile_position.png",4,220,900)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-0.0443566676</v>
      </c>
      <c r="G2479" t="n">
        <v>0.2945830755080864</v>
      </c>
      <c r="H2479" t="n">
        <v>0.0138514157891585</v>
      </c>
      <c r="I2479" t="n">
        <v>0.3968598026675154</v>
      </c>
      <c r="J2479" t="n">
        <v>0.0003738539595881</v>
      </c>
      <c r="K2479" t="n">
        <v>0.9442072433210488</v>
      </c>
      <c r="L2479" t="b">
        <v>0</v>
      </c>
      <c r="M2479" t="b">
        <v>0</v>
      </c>
      <c r="N2479" t="inlineStr">
        <is>
          <t>ref</t>
        </is>
      </c>
      <c r="O2479" t="n">
        <v>-95</v>
      </c>
      <c r="P2479" t="n">
        <v>0.004333</v>
      </c>
      <c r="Q2479" t="n">
        <v>-95</v>
      </c>
      <c r="R2479" t="n">
        <v>0.07335999999999999</v>
      </c>
      <c r="S2479">
        <f>IMAGE("https://mitra.stanford.edu/kundaje/oak/projects/neuro-variants/variant_position/credible/roussos_2024/variant_figures/roussos_2024.adolescence.Astrocyte/rs55701200_count_position.png",4,220,900)</f>
        <v/>
      </c>
      <c r="T2479">
        <f>IMAGE("https://mitra.stanford.edu/kundaje/oak/projects/neuro-variants/variant_position/credible/roussos_2024/variant_figures/roussos_2024.adolescence.Astrocyte/rs55701200_profile_position.png",4,220,900)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0.0395264773999999</v>
      </c>
      <c r="G2480" t="n">
        <v>0.3163491423155919</v>
      </c>
      <c r="H2480" t="n">
        <v>0.0129116383523283</v>
      </c>
      <c r="I2480" t="n">
        <v>0.4772456080682785</v>
      </c>
      <c r="J2480" t="n">
        <v>0.0296153161439634</v>
      </c>
      <c r="K2480" t="n">
        <v>0.5241494504916592</v>
      </c>
      <c r="L2480" t="b">
        <v>0</v>
      </c>
      <c r="M2480" t="b">
        <v>0</v>
      </c>
      <c r="N2480" t="inlineStr">
        <is>
          <t>alt</t>
        </is>
      </c>
      <c r="O2480" t="n">
        <v>-80</v>
      </c>
      <c r="P2480" t="n">
        <v>0.03394</v>
      </c>
      <c r="Q2480" t="n">
        <v>90</v>
      </c>
      <c r="R2480" t="n">
        <v>0.2047</v>
      </c>
      <c r="S2480">
        <f>IMAGE("https://mitra.stanford.edu/kundaje/oak/projects/neuro-variants/variant_position/credible/roussos_2024/variant_figures/roussos_2024.adolescence.Astrocyte/rs11128837_count_position.png",4,220,900)</f>
        <v/>
      </c>
      <c r="T2480">
        <f>IMAGE("https://mitra.stanford.edu/kundaje/oak/projects/neuro-variants/variant_position/credible/roussos_2024/variant_figures/roussos_2024.adolescence.Astrocyte/rs11128837_profile_position.png",4,220,900)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0.01175801708</v>
      </c>
      <c r="G2481" t="n">
        <v>0.6851665430111357</v>
      </c>
      <c r="H2481" t="n">
        <v>0.009356029738758801</v>
      </c>
      <c r="I2481" t="n">
        <v>0.8171515849240779</v>
      </c>
      <c r="J2481" t="n">
        <v>0.0194997477969319</v>
      </c>
      <c r="K2481" t="n">
        <v>0.5808063459332682</v>
      </c>
      <c r="L2481" t="b">
        <v>0</v>
      </c>
      <c r="M2481" t="b">
        <v>0</v>
      </c>
      <c r="N2481" t="inlineStr">
        <is>
          <t>alt</t>
        </is>
      </c>
      <c r="O2481" t="n">
        <v>65</v>
      </c>
      <c r="P2481" t="n">
        <v>0.01283</v>
      </c>
      <c r="Q2481" t="n">
        <v>-40</v>
      </c>
      <c r="R2481" t="n">
        <v>0.0321</v>
      </c>
      <c r="S2481">
        <f>IMAGE("https://mitra.stanford.edu/kundaje/oak/projects/neuro-variants/variant_position/credible/roussos_2024/variant_figures/roussos_2024.adolescence.Astrocyte/rs13083917_count_position.png",4,220,900)</f>
        <v/>
      </c>
      <c r="T2481">
        <f>IMAGE("https://mitra.stanford.edu/kundaje/oak/projects/neuro-variants/variant_position/credible/roussos_2024/variant_figures/roussos_2024.adolescence.Astrocyte/rs13083917_profile_position.png",4,220,900)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-0.09883651340000001</v>
      </c>
      <c r="G2482" t="n">
        <v>0.1063126014731569</v>
      </c>
      <c r="H2482" t="n">
        <v>0.0129869804177905</v>
      </c>
      <c r="I2482" t="n">
        <v>0.4634130843804466</v>
      </c>
      <c r="J2482" t="n">
        <v>0.0009917514761296001</v>
      </c>
      <c r="K2482" t="n">
        <v>0.878766413099744</v>
      </c>
      <c r="L2482" t="b">
        <v>0</v>
      </c>
      <c r="M2482" t="b">
        <v>0</v>
      </c>
      <c r="N2482" t="inlineStr">
        <is>
          <t>ref</t>
        </is>
      </c>
      <c r="O2482" t="n">
        <v>50</v>
      </c>
      <c r="P2482" t="n">
        <v>0.003784</v>
      </c>
      <c r="Q2482" t="n">
        <v>70</v>
      </c>
      <c r="R2482" t="n">
        <v>0.07263</v>
      </c>
      <c r="S2482">
        <f>IMAGE("https://mitra.stanford.edu/kundaje/oak/projects/neuro-variants/variant_position/credible/roussos_2024/variant_figures/roussos_2024.adolescence.Astrocyte/rs4909009_count_position.png",4,220,900)</f>
        <v/>
      </c>
      <c r="T2482">
        <f>IMAGE("https://mitra.stanford.edu/kundaje/oak/projects/neuro-variants/variant_position/credible/roussos_2024/variant_figures/roussos_2024.adolescence.Astrocyte/rs4909009_profile_position.png",4,220,900)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0.2723778879999999</v>
      </c>
      <c r="G2483" t="n">
        <v>0.0082859639622726</v>
      </c>
      <c r="H2483" t="n">
        <v>0.0837835660807062</v>
      </c>
      <c r="I2483" t="n">
        <v>0.0007412761028812</v>
      </c>
      <c r="J2483" t="n">
        <v>0.2106081061033142</v>
      </c>
      <c r="K2483" t="n">
        <v>0.1972252726038716</v>
      </c>
      <c r="L2483" t="b">
        <v>1</v>
      </c>
      <c r="M2483" t="b">
        <v>1</v>
      </c>
      <c r="N2483" t="inlineStr">
        <is>
          <t>alt</t>
        </is>
      </c>
      <c r="O2483" t="n">
        <v>-85</v>
      </c>
      <c r="P2483" t="n">
        <v>0.00264</v>
      </c>
      <c r="Q2483" t="n">
        <v>-100</v>
      </c>
      <c r="R2483" t="n">
        <v>0.1364</v>
      </c>
      <c r="S2483">
        <f>IMAGE("https://mitra.stanford.edu/kundaje/oak/projects/neuro-variants/variant_position/credible/roussos_2024/variant_figures/roussos_2024.adolescence.Astrocyte/rs6797952_count_position.png",4,220,900)</f>
        <v/>
      </c>
      <c r="T2483">
        <f>IMAGE("https://mitra.stanford.edu/kundaje/oak/projects/neuro-variants/variant_position/credible/roussos_2024/variant_figures/roussos_2024.adolescence.Astrocyte/rs6797952_profile_position.png",4,220,900)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0.3093315726</v>
      </c>
      <c r="G2484" t="n">
        <v>0.014381851495547</v>
      </c>
      <c r="H2484" t="n">
        <v>0.0354001134546104</v>
      </c>
      <c r="I2484" t="n">
        <v>0.0418821647482377</v>
      </c>
      <c r="J2484" t="n">
        <v>0.0137643533216627</v>
      </c>
      <c r="K2484" t="n">
        <v>0.6982990777406507</v>
      </c>
      <c r="L2484" t="b">
        <v>1</v>
      </c>
      <c r="M2484" t="b">
        <v>0</v>
      </c>
      <c r="N2484" t="inlineStr">
        <is>
          <t>alt</t>
        </is>
      </c>
      <c r="O2484" t="n">
        <v>30</v>
      </c>
      <c r="P2484" t="n">
        <v>0.001495</v>
      </c>
      <c r="Q2484" t="n">
        <v>-90</v>
      </c>
      <c r="R2484" t="n">
        <v>0.0476</v>
      </c>
      <c r="S2484">
        <f>IMAGE("https://mitra.stanford.edu/kundaje/oak/projects/neuro-variants/variant_position/credible/roussos_2024/variant_figures/roussos_2024.adolescence.Astrocyte/rs35642812_count_position.png",4,220,900)</f>
        <v/>
      </c>
      <c r="T2484">
        <f>IMAGE("https://mitra.stanford.edu/kundaje/oak/projects/neuro-variants/variant_position/credible/roussos_2024/variant_figures/roussos_2024.adolescence.Astrocyte/rs35642812_profile_position.png",4,220,900)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0.287131084</v>
      </c>
      <c r="G2485" t="n">
        <v>0.007929277623461999</v>
      </c>
      <c r="H2485" t="n">
        <v>0.0294842359510531</v>
      </c>
      <c r="I2485" t="n">
        <v>0.0344493757071387</v>
      </c>
      <c r="J2485" t="n">
        <v>0.0543668219446339</v>
      </c>
      <c r="K2485" t="n">
        <v>0.4230113387922543</v>
      </c>
      <c r="L2485" t="b">
        <v>1</v>
      </c>
      <c r="M2485" t="b">
        <v>1</v>
      </c>
      <c r="N2485" t="inlineStr">
        <is>
          <t>alt</t>
        </is>
      </c>
      <c r="O2485" t="n">
        <v>5</v>
      </c>
      <c r="P2485" t="n">
        <v>0.001862</v>
      </c>
      <c r="Q2485" t="n">
        <v>5</v>
      </c>
      <c r="R2485" t="n">
        <v>0.03076</v>
      </c>
      <c r="S2485">
        <f>IMAGE("https://mitra.stanford.edu/kundaje/oak/projects/neuro-variants/variant_position/credible/roussos_2024/variant_figures/roussos_2024.adolescence.Astrocyte/rs6810235_count_position.png",4,220,900)</f>
        <v/>
      </c>
      <c r="T2485">
        <f>IMAGE("https://mitra.stanford.edu/kundaje/oak/projects/neuro-variants/variant_position/credible/roussos_2024/variant_figures/roussos_2024.adolescence.Astrocyte/rs6810235_profile_position.png",4,220,900)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-0.287638248</v>
      </c>
      <c r="G2486" t="n">
        <v>0.0072948506505978</v>
      </c>
      <c r="H2486" t="n">
        <v>0.038520298248143</v>
      </c>
      <c r="I2486" t="n">
        <v>0.0117477660290617</v>
      </c>
      <c r="J2486" t="n">
        <v>0.0359478384713526</v>
      </c>
      <c r="K2486" t="n">
        <v>0.4934509077878955</v>
      </c>
      <c r="L2486" t="b">
        <v>1</v>
      </c>
      <c r="M2486" t="b">
        <v>1</v>
      </c>
      <c r="N2486" t="inlineStr">
        <is>
          <t>ref</t>
        </is>
      </c>
      <c r="O2486" t="n">
        <v>-85</v>
      </c>
      <c r="P2486" t="n">
        <v>0.007965</v>
      </c>
      <c r="Q2486" t="n">
        <v>-30</v>
      </c>
      <c r="R2486" t="n">
        <v>0.0813</v>
      </c>
      <c r="S2486">
        <f>IMAGE("https://mitra.stanford.edu/kundaje/oak/projects/neuro-variants/variant_position/credible/roussos_2024/variant_figures/roussos_2024.adolescence.Astrocyte/rs13071934_count_position.png",4,220,900)</f>
        <v/>
      </c>
      <c r="T2486">
        <f>IMAGE("https://mitra.stanford.edu/kundaje/oak/projects/neuro-variants/variant_position/credible/roussos_2024/variant_figures/roussos_2024.adolescence.Astrocyte/rs13071934_profile_position.png",4,220,900)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0.066375054</v>
      </c>
      <c r="G2487" t="n">
        <v>0.1630500128023488</v>
      </c>
      <c r="H2487" t="n">
        <v>0.0108034119122447</v>
      </c>
      <c r="I2487" t="n">
        <v>0.6719037289442437</v>
      </c>
      <c r="J2487" t="n">
        <v>0.0574058689137464</v>
      </c>
      <c r="K2487" t="n">
        <v>0.4452874331231686</v>
      </c>
      <c r="L2487" t="b">
        <v>0</v>
      </c>
      <c r="M2487" t="b">
        <v>0</v>
      </c>
      <c r="N2487" t="inlineStr">
        <is>
          <t>alt</t>
        </is>
      </c>
      <c r="O2487" t="n">
        <v>-95</v>
      </c>
      <c r="P2487" t="n">
        <v>0.0055</v>
      </c>
      <c r="Q2487" t="n">
        <v>-50</v>
      </c>
      <c r="R2487" t="n">
        <v>0.1101</v>
      </c>
      <c r="S2487">
        <f>IMAGE("https://mitra.stanford.edu/kundaje/oak/projects/neuro-variants/variant_position/credible/roussos_2024/variant_figures/roussos_2024.adolescence.Astrocyte/rs9880456_count_position.png",4,220,900)</f>
        <v/>
      </c>
      <c r="T2487">
        <f>IMAGE("https://mitra.stanford.edu/kundaje/oak/projects/neuro-variants/variant_position/credible/roussos_2024/variant_figures/roussos_2024.adolescence.Astrocyte/rs9880456_profile_position.png",4,220,900)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0.0236196972</v>
      </c>
      <c r="G2488" t="n">
        <v>0.4960858578799893</v>
      </c>
      <c r="H2488" t="n">
        <v>0.013909770454581</v>
      </c>
      <c r="I2488" t="n">
        <v>0.3979337238772732</v>
      </c>
      <c r="J2488" t="n">
        <v>0.0163301486514553</v>
      </c>
      <c r="K2488" t="n">
        <v>0.6326718340959114</v>
      </c>
      <c r="L2488" t="b">
        <v>0</v>
      </c>
      <c r="M2488" t="b">
        <v>0</v>
      </c>
      <c r="N2488" t="inlineStr">
        <is>
          <t>alt</t>
        </is>
      </c>
      <c r="O2488" t="n">
        <v>80</v>
      </c>
      <c r="P2488" t="n">
        <v>0.009809999999999999</v>
      </c>
      <c r="Q2488" t="n">
        <v>80</v>
      </c>
      <c r="R2488" t="n">
        <v>0.1422</v>
      </c>
      <c r="S2488">
        <f>IMAGE("https://mitra.stanford.edu/kundaje/oak/projects/neuro-variants/variant_position/credible/roussos_2024/variant_figures/roussos_2024.adolescence.Astrocyte/rs4566568_count_position.png",4,220,900)</f>
        <v/>
      </c>
      <c r="T2488">
        <f>IMAGE("https://mitra.stanford.edu/kundaje/oak/projects/neuro-variants/variant_position/credible/roussos_2024/variant_figures/roussos_2024.adolescence.Astrocyte/rs4566568_profile_position.png",4,220,900)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-0.157963053</v>
      </c>
      <c r="G2489" t="n">
        <v>0.0440461672152955</v>
      </c>
      <c r="H2489" t="n">
        <v>0.0227852303457196</v>
      </c>
      <c r="I2489" t="n">
        <v>0.1007419930219896</v>
      </c>
      <c r="J2489" t="n">
        <v>0.008475506631457</v>
      </c>
      <c r="K2489" t="n">
        <v>0.692776141478736</v>
      </c>
      <c r="L2489" t="b">
        <v>0</v>
      </c>
      <c r="M2489" t="b">
        <v>0</v>
      </c>
      <c r="N2489" t="inlineStr">
        <is>
          <t>ref</t>
        </is>
      </c>
      <c r="O2489" t="n">
        <v>40</v>
      </c>
      <c r="P2489" t="n">
        <v>0.001585</v>
      </c>
      <c r="Q2489" t="n">
        <v>30</v>
      </c>
      <c r="R2489" t="n">
        <v>0.02625</v>
      </c>
      <c r="S2489">
        <f>IMAGE("https://mitra.stanford.edu/kundaje/oak/projects/neuro-variants/variant_position/credible/roussos_2024/variant_figures/roussos_2024.adolescence.Astrocyte/rs7609916_count_position.png",4,220,900)</f>
        <v/>
      </c>
      <c r="T2489">
        <f>IMAGE("https://mitra.stanford.edu/kundaje/oak/projects/neuro-variants/variant_position/credible/roussos_2024/variant_figures/roussos_2024.adolescence.Astrocyte/rs7609916_profile_position.png",4,220,900)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-0.0155949562</v>
      </c>
      <c r="G2490" t="n">
        <v>0.4438659585136191</v>
      </c>
      <c r="H2490" t="n">
        <v>0.0238788875415867</v>
      </c>
      <c r="I2490" t="n">
        <v>0.07406984384739029</v>
      </c>
      <c r="J2490" t="n">
        <v>0.0203661395128029</v>
      </c>
      <c r="K2490" t="n">
        <v>0.5744193768851823</v>
      </c>
      <c r="L2490" t="b">
        <v>0</v>
      </c>
      <c r="M2490" t="b">
        <v>0</v>
      </c>
      <c r="N2490" t="inlineStr">
        <is>
          <t>ref</t>
        </is>
      </c>
      <c r="O2490" t="n">
        <v>10</v>
      </c>
      <c r="P2490" t="n">
        <v>0.000725</v>
      </c>
      <c r="Q2490" t="n">
        <v>75</v>
      </c>
      <c r="R2490" t="n">
        <v>0.0862</v>
      </c>
      <c r="S2490">
        <f>IMAGE("https://mitra.stanford.edu/kundaje/oak/projects/neuro-variants/variant_position/credible/roussos_2024/variant_figures/roussos_2024.adolescence.Astrocyte/rs11709790_count_position.png",4,220,900)</f>
        <v/>
      </c>
      <c r="T2490">
        <f>IMAGE("https://mitra.stanford.edu/kundaje/oak/projects/neuro-variants/variant_position/credible/roussos_2024/variant_figures/roussos_2024.adolescence.Astrocyte/rs11709790_profile_position.png",4,220,900)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0.0561748453999999</v>
      </c>
      <c r="G2491" t="n">
        <v>0.1932306234172033</v>
      </c>
      <c r="H2491" t="n">
        <v>0.0145069127265922</v>
      </c>
      <c r="I2491" t="n">
        <v>0.3516646869624164</v>
      </c>
      <c r="J2491" t="n">
        <v>0.000810016912441</v>
      </c>
      <c r="K2491" t="n">
        <v>0.906557509603781</v>
      </c>
      <c r="L2491" t="b">
        <v>0</v>
      </c>
      <c r="M2491" t="b">
        <v>0</v>
      </c>
      <c r="N2491" t="inlineStr">
        <is>
          <t>alt</t>
        </is>
      </c>
      <c r="O2491" t="n">
        <v>-30</v>
      </c>
      <c r="P2491" t="n">
        <v>0.00408</v>
      </c>
      <c r="Q2491" t="n">
        <v>-90</v>
      </c>
      <c r="R2491" t="n">
        <v>0.2852</v>
      </c>
      <c r="S2491">
        <f>IMAGE("https://mitra.stanford.edu/kundaje/oak/projects/neuro-variants/variant_position/credible/roussos_2024/variant_figures/roussos_2024.adolescence.Astrocyte/rs4616675_count_position.png",4,220,900)</f>
        <v/>
      </c>
      <c r="T2491">
        <f>IMAGE("https://mitra.stanford.edu/kundaje/oak/projects/neuro-variants/variant_position/credible/roussos_2024/variant_figures/roussos_2024.adolescence.Astrocyte/rs4616675_profile_position.png",4,220,900)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-0.0639303153999999</v>
      </c>
      <c r="G2492" t="n">
        <v>0.1819029176284631</v>
      </c>
      <c r="H2492" t="n">
        <v>0.0145969911066599</v>
      </c>
      <c r="I2492" t="n">
        <v>0.3580486289081421</v>
      </c>
      <c r="J2492" t="n">
        <v>0.010295077589532</v>
      </c>
      <c r="K2492" t="n">
        <v>0.6704238334094809</v>
      </c>
      <c r="L2492" t="b">
        <v>0</v>
      </c>
      <c r="M2492" t="b">
        <v>0</v>
      </c>
      <c r="N2492" t="inlineStr">
        <is>
          <t>ref</t>
        </is>
      </c>
      <c r="O2492" t="n">
        <v>-35</v>
      </c>
      <c r="P2492" t="n">
        <v>0.002151</v>
      </c>
      <c r="Q2492" t="n">
        <v>90</v>
      </c>
      <c r="R2492" t="n">
        <v>0.0468</v>
      </c>
      <c r="S2492">
        <f>IMAGE("https://mitra.stanford.edu/kundaje/oak/projects/neuro-variants/variant_position/credible/roussos_2024/variant_figures/roussos_2024.adolescence.Astrocyte/rs17200916_count_position.png",4,220,900)</f>
        <v/>
      </c>
      <c r="T2492">
        <f>IMAGE("https://mitra.stanford.edu/kundaje/oak/projects/neuro-variants/variant_position/credible/roussos_2024/variant_figures/roussos_2024.adolescence.Astrocyte/rs17200916_profile_position.png",4,220,900)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-0.0466084476</v>
      </c>
      <c r="G2493" t="n">
        <v>0.2358464005695484</v>
      </c>
      <c r="H2493" t="n">
        <v>0.0188740186611409</v>
      </c>
      <c r="I2493" t="n">
        <v>0.1647880401659839</v>
      </c>
      <c r="J2493" t="n">
        <v>0.0534047414176779</v>
      </c>
      <c r="K2493" t="n">
        <v>0.4242749558971865</v>
      </c>
      <c r="L2493" t="b">
        <v>0</v>
      </c>
      <c r="M2493" t="b">
        <v>0</v>
      </c>
      <c r="N2493" t="inlineStr">
        <is>
          <t>ref</t>
        </is>
      </c>
      <c r="O2493" t="n">
        <v>95</v>
      </c>
      <c r="P2493" t="n">
        <v>0.0559</v>
      </c>
      <c r="Q2493" t="n">
        <v>95</v>
      </c>
      <c r="R2493" t="n">
        <v>0.369</v>
      </c>
      <c r="S2493">
        <f>IMAGE("https://mitra.stanford.edu/kundaje/oak/projects/neuro-variants/variant_position/credible/roussos_2024/variant_figures/roussos_2024.adolescence.Astrocyte/rs11128871_count_position.png",4,220,900)</f>
        <v/>
      </c>
      <c r="T2493">
        <f>IMAGE("https://mitra.stanford.edu/kundaje/oak/projects/neuro-variants/variant_position/credible/roussos_2024/variant_figures/roussos_2024.adolescence.Astrocyte/rs11128871_profile_position.png",4,220,900)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-0.0184498942</v>
      </c>
      <c r="G2494" t="n">
        <v>0.5783304827774437</v>
      </c>
      <c r="H2494" t="n">
        <v>0.0074333945362578</v>
      </c>
      <c r="I2494" t="n">
        <v>0.964492926481614</v>
      </c>
      <c r="J2494" t="n">
        <v>0.0377688929768862</v>
      </c>
      <c r="K2494" t="n">
        <v>0.4826961432367168</v>
      </c>
      <c r="L2494" t="b">
        <v>0</v>
      </c>
      <c r="M2494" t="b">
        <v>0</v>
      </c>
      <c r="N2494" t="inlineStr">
        <is>
          <t>ref</t>
        </is>
      </c>
      <c r="O2494" t="n">
        <v>-85</v>
      </c>
      <c r="P2494" t="n">
        <v>0.015274</v>
      </c>
      <c r="Q2494" t="n">
        <v>-100</v>
      </c>
      <c r="R2494" t="n">
        <v>0.399</v>
      </c>
      <c r="S2494">
        <f>IMAGE("https://mitra.stanford.edu/kundaje/oak/projects/neuro-variants/variant_position/credible/roussos_2024/variant_figures/roussos_2024.adolescence.Astrocyte/rs12495352_count_position.png",4,220,900)</f>
        <v/>
      </c>
      <c r="T2494">
        <f>IMAGE("https://mitra.stanford.edu/kundaje/oak/projects/neuro-variants/variant_position/credible/roussos_2024/variant_figures/roussos_2024.adolescence.Astrocyte/rs12495352_profile_position.png",4,220,900)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0.125184167</v>
      </c>
      <c r="G2495" t="n">
        <v>0.0519956238457449</v>
      </c>
      <c r="H2495" t="n">
        <v>0.0297607624801965</v>
      </c>
      <c r="I2495" t="n">
        <v>0.0328415738919634</v>
      </c>
      <c r="J2495" t="n">
        <v>0.0276881879951339</v>
      </c>
      <c r="K2495" t="n">
        <v>0.5544635041180282</v>
      </c>
      <c r="L2495" t="b">
        <v>0</v>
      </c>
      <c r="M2495" t="b">
        <v>0</v>
      </c>
      <c r="N2495" t="inlineStr">
        <is>
          <t>alt</t>
        </is>
      </c>
      <c r="O2495" t="n">
        <v>-45</v>
      </c>
      <c r="P2495" t="n">
        <v>0.004974</v>
      </c>
      <c r="Q2495" t="n">
        <v>85</v>
      </c>
      <c r="R2495" t="n">
        <v>0.1458</v>
      </c>
      <c r="S2495">
        <f>IMAGE("https://mitra.stanford.edu/kundaje/oak/projects/neuro-variants/variant_position/credible/roussos_2024/variant_figures/roussos_2024.adolescence.Astrocyte/rs6771673_count_position.png",4,220,900)</f>
        <v/>
      </c>
      <c r="T2495">
        <f>IMAGE("https://mitra.stanford.edu/kundaje/oak/projects/neuro-variants/variant_position/credible/roussos_2024/variant_figures/roussos_2024.adolescence.Astrocyte/rs6771673_profile_position.png",4,220,900)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-0.0172815840999999</v>
      </c>
      <c r="G2496" t="n">
        <v>0.6077084434638095</v>
      </c>
      <c r="H2496" t="n">
        <v>0.0086020679197477</v>
      </c>
      <c r="I2496" t="n">
        <v>0.8893302294585257</v>
      </c>
      <c r="J2496" t="n">
        <v>0.0440213037415066</v>
      </c>
      <c r="K2496" t="n">
        <v>0.4800124767344874</v>
      </c>
      <c r="L2496" t="b">
        <v>0</v>
      </c>
      <c r="M2496" t="b">
        <v>0</v>
      </c>
      <c r="N2496" t="inlineStr">
        <is>
          <t>ref</t>
        </is>
      </c>
      <c r="O2496" t="n">
        <v>95</v>
      </c>
      <c r="P2496" t="n">
        <v>0.1373</v>
      </c>
      <c r="Q2496" t="n">
        <v>100</v>
      </c>
      <c r="R2496" t="n">
        <v>0.3442</v>
      </c>
      <c r="S2496">
        <f>IMAGE("https://mitra.stanford.edu/kundaje/oak/projects/neuro-variants/variant_position/credible/roussos_2024/variant_figures/roussos_2024.adolescence.Astrocyte/rs4908979_count_position.png",4,220,900)</f>
        <v/>
      </c>
      <c r="T2496">
        <f>IMAGE("https://mitra.stanford.edu/kundaje/oak/projects/neuro-variants/variant_position/credible/roussos_2024/variant_figures/roussos_2024.adolescence.Astrocyte/rs4908979_profile_position.png",4,220,900)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0.163371702</v>
      </c>
      <c r="G2497" t="n">
        <v>0.0292674533760393</v>
      </c>
      <c r="H2497" t="n">
        <v>0.0214380723568749</v>
      </c>
      <c r="I2497" t="n">
        <v>0.1086986662285458</v>
      </c>
      <c r="J2497" t="n">
        <v>0.0001735750526659</v>
      </c>
      <c r="K2497" t="n">
        <v>0.9671235052110964</v>
      </c>
      <c r="L2497" t="b">
        <v>0</v>
      </c>
      <c r="M2497" t="b">
        <v>0</v>
      </c>
      <c r="N2497" t="inlineStr">
        <is>
          <t>alt</t>
        </is>
      </c>
      <c r="O2497" t="n">
        <v>45</v>
      </c>
      <c r="P2497" t="n">
        <v>0.006058</v>
      </c>
      <c r="Q2497" t="n">
        <v>-100</v>
      </c>
      <c r="R2497" t="n">
        <v>0.3462</v>
      </c>
      <c r="S2497">
        <f>IMAGE("https://mitra.stanford.edu/kundaje/oak/projects/neuro-variants/variant_position/credible/roussos_2024/variant_figures/roussos_2024.adolescence.Astrocyte/rs2033373_count_position.png",4,220,900)</f>
        <v/>
      </c>
      <c r="T2497">
        <f>IMAGE("https://mitra.stanford.edu/kundaje/oak/projects/neuro-variants/variant_position/credible/roussos_2024/variant_figures/roussos_2024.adolescence.Astrocyte/rs2033373_profile_position.png",4,220,900)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-0.0454907758</v>
      </c>
      <c r="G2498" t="n">
        <v>0.2619952514384307</v>
      </c>
      <c r="H2498" t="n">
        <v>0.0121184818380201</v>
      </c>
      <c r="I2498" t="n">
        <v>0.5479376246895727</v>
      </c>
      <c r="J2498" t="n">
        <v>0.0477539091475535</v>
      </c>
      <c r="K2498" t="n">
        <v>0.4439763277074314</v>
      </c>
      <c r="L2498" t="b">
        <v>0</v>
      </c>
      <c r="M2498" t="b">
        <v>0</v>
      </c>
      <c r="N2498" t="inlineStr">
        <is>
          <t>ref</t>
        </is>
      </c>
      <c r="O2498" t="n">
        <v>30</v>
      </c>
      <c r="P2498" t="n">
        <v>0.00583</v>
      </c>
      <c r="Q2498" t="n">
        <v>-80</v>
      </c>
      <c r="R2498" t="n">
        <v>0.003052</v>
      </c>
      <c r="S2498">
        <f>IMAGE("https://mitra.stanford.edu/kundaje/oak/projects/neuro-variants/variant_position/credible/roussos_2024/variant_figures/roussos_2024.adolescence.Astrocyte/rs7638304_count_position.png",4,220,900)</f>
        <v/>
      </c>
      <c r="T2498">
        <f>IMAGE("https://mitra.stanford.edu/kundaje/oak/projects/neuro-variants/variant_position/credible/roussos_2024/variant_figures/roussos_2024.adolescence.Astrocyte/rs7638304_profile_position.png",4,220,900)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0.0175797176</v>
      </c>
      <c r="G2499" t="n">
        <v>0.5757735766557095</v>
      </c>
      <c r="H2499" t="n">
        <v>0.0246883853570795</v>
      </c>
      <c r="I2499" t="n">
        <v>0.06869532379934271</v>
      </c>
      <c r="J2499" t="n">
        <v>0.009428685873661</v>
      </c>
      <c r="K2499" t="n">
        <v>0.6664860699784525</v>
      </c>
      <c r="L2499" t="b">
        <v>0</v>
      </c>
      <c r="M2499" t="b">
        <v>0</v>
      </c>
      <c r="N2499" t="inlineStr">
        <is>
          <t>alt</t>
        </is>
      </c>
      <c r="O2499" t="n">
        <v>75</v>
      </c>
      <c r="P2499" t="n">
        <v>0.01378</v>
      </c>
      <c r="Q2499" t="n">
        <v>-65</v>
      </c>
      <c r="R2499" t="n">
        <v>0.1248</v>
      </c>
      <c r="S2499">
        <f>IMAGE("https://mitra.stanford.edu/kundaje/oak/projects/neuro-variants/variant_position/credible/roussos_2024/variant_figures/roussos_2024.adolescence.Astrocyte/rs6781559_count_position.png",4,220,900)</f>
        <v/>
      </c>
      <c r="T2499">
        <f>IMAGE("https://mitra.stanford.edu/kundaje/oak/projects/neuro-variants/variant_position/credible/roussos_2024/variant_figures/roussos_2024.adolescence.Astrocyte/rs6781559_profile_position.png",4,220,900)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0.1113220378</v>
      </c>
      <c r="G2500" t="n">
        <v>0.0695440501733544</v>
      </c>
      <c r="H2500" t="n">
        <v>0.0153427253900613</v>
      </c>
      <c r="I2500" t="n">
        <v>0.3069884289007317</v>
      </c>
      <c r="J2500" t="n">
        <v>0.1434798089190873</v>
      </c>
      <c r="K2500" t="n">
        <v>0.2599045573944161</v>
      </c>
      <c r="L2500" t="b">
        <v>0</v>
      </c>
      <c r="M2500" t="b">
        <v>0</v>
      </c>
      <c r="N2500" t="inlineStr">
        <is>
          <t>alt</t>
        </is>
      </c>
      <c r="O2500" t="n">
        <v>-20</v>
      </c>
      <c r="P2500" t="n">
        <v>0.00293</v>
      </c>
      <c r="Q2500" t="n">
        <v>-20</v>
      </c>
      <c r="R2500" t="n">
        <v>0.03516</v>
      </c>
      <c r="S2500">
        <f>IMAGE("https://mitra.stanford.edu/kundaje/oak/projects/neuro-variants/variant_position/credible/roussos_2024/variant_figures/roussos_2024.adolescence.Astrocyte/rs58274299_count_position.png",4,220,900)</f>
        <v/>
      </c>
      <c r="T2500">
        <f>IMAGE("https://mitra.stanford.edu/kundaje/oak/projects/neuro-variants/variant_position/credible/roussos_2024/variant_figures/roussos_2024.adolescence.Astrocyte/rs58274299_profile_position.png",4,220,900)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-0.242987344</v>
      </c>
      <c r="G2501" t="n">
        <v>0.0147266828917465</v>
      </c>
      <c r="H2501" t="n">
        <v>0.037962309468752</v>
      </c>
      <c r="I2501" t="n">
        <v>0.0140871295139795</v>
      </c>
      <c r="J2501" t="n">
        <v>0.0199143993116339</v>
      </c>
      <c r="K2501" t="n">
        <v>0.5764308580656538</v>
      </c>
      <c r="L2501" t="b">
        <v>1</v>
      </c>
      <c r="M2501" t="b">
        <v>0</v>
      </c>
      <c r="N2501" t="inlineStr">
        <is>
          <t>ref</t>
        </is>
      </c>
      <c r="O2501" t="n">
        <v>15</v>
      </c>
      <c r="P2501" t="n">
        <v>0.003246</v>
      </c>
      <c r="Q2501" t="n">
        <v>15</v>
      </c>
      <c r="R2501" t="n">
        <v>0.046</v>
      </c>
      <c r="S2501">
        <f>IMAGE("https://mitra.stanford.edu/kundaje/oak/projects/neuro-variants/variant_position/credible/roussos_2024/variant_figures/roussos_2024.adolescence.Astrocyte/rs78158283_count_position.png",4,220,900)</f>
        <v/>
      </c>
      <c r="T2501">
        <f>IMAGE("https://mitra.stanford.edu/kundaje/oak/projects/neuro-variants/variant_position/credible/roussos_2024/variant_figures/roussos_2024.adolescence.Astrocyte/rs78158283_profile_position.png",4,220,900)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0.00881600334</v>
      </c>
      <c r="G2502" t="n">
        <v>0.7618971864037319</v>
      </c>
      <c r="H2502" t="n">
        <v>0.0102677031114025</v>
      </c>
      <c r="I2502" t="n">
        <v>0.7203355507961317</v>
      </c>
      <c r="J2502" t="n">
        <v>0.0125589710114826</v>
      </c>
      <c r="K2502" t="n">
        <v>0.6670550981907698</v>
      </c>
      <c r="L2502" t="b">
        <v>0</v>
      </c>
      <c r="M2502" t="b">
        <v>0</v>
      </c>
      <c r="N2502" t="inlineStr">
        <is>
          <t>alt</t>
        </is>
      </c>
      <c r="O2502" t="n">
        <v>-75</v>
      </c>
      <c r="P2502" t="n">
        <v>0.01221</v>
      </c>
      <c r="Q2502" t="n">
        <v>-40</v>
      </c>
      <c r="R2502" t="n">
        <v>0.07770000000000001</v>
      </c>
      <c r="S2502">
        <f>IMAGE("https://mitra.stanford.edu/kundaje/oak/projects/neuro-variants/variant_position/credible/roussos_2024/variant_figures/roussos_2024.adolescence.Astrocyte/rs77704657_count_position.png",4,220,900)</f>
        <v/>
      </c>
      <c r="T2502">
        <f>IMAGE("https://mitra.stanford.edu/kundaje/oak/projects/neuro-variants/variant_position/credible/roussos_2024/variant_figures/roussos_2024.adolescence.Astrocyte/rs77704657_profile_position.png",4,220,900)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-0.01984497654</v>
      </c>
      <c r="G2503" t="n">
        <v>0.5753531755331899</v>
      </c>
      <c r="H2503" t="n">
        <v>0.0076047649159412</v>
      </c>
      <c r="I2503" t="n">
        <v>0.940267018073996</v>
      </c>
      <c r="J2503" t="n">
        <v>0.001266207755986</v>
      </c>
      <c r="K2503" t="n">
        <v>0.8670044567046081</v>
      </c>
      <c r="L2503" t="b">
        <v>0</v>
      </c>
      <c r="M2503" t="b">
        <v>0</v>
      </c>
      <c r="N2503" t="inlineStr">
        <is>
          <t>ref</t>
        </is>
      </c>
      <c r="O2503" t="n">
        <v>50</v>
      </c>
      <c r="P2503" t="n">
        <v>0.02176</v>
      </c>
      <c r="Q2503" t="n">
        <v>95</v>
      </c>
      <c r="R2503" t="n">
        <v>0.1206</v>
      </c>
      <c r="S2503">
        <f>IMAGE("https://mitra.stanford.edu/kundaje/oak/projects/neuro-variants/variant_position/credible/roussos_2024/variant_figures/roussos_2024.adolescence.Astrocyte/rs2362188_count_position.png",4,220,900)</f>
        <v/>
      </c>
      <c r="T2503">
        <f>IMAGE("https://mitra.stanford.edu/kundaje/oak/projects/neuro-variants/variant_position/credible/roussos_2024/variant_figures/roussos_2024.adolescence.Astrocyte/rs2362188_profile_position.png",4,220,900)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0.1496864168</v>
      </c>
      <c r="G2504" t="n">
        <v>0.0377822545301598</v>
      </c>
      <c r="H2504" t="n">
        <v>0.0276561334636098</v>
      </c>
      <c r="I2504" t="n">
        <v>0.048784864114064</v>
      </c>
      <c r="J2504" t="n">
        <v>0.3334413850399074</v>
      </c>
      <c r="K2504" t="n">
        <v>0.1168146878304756</v>
      </c>
      <c r="L2504" t="b">
        <v>0</v>
      </c>
      <c r="M2504" t="b">
        <v>0</v>
      </c>
      <c r="N2504" t="inlineStr">
        <is>
          <t>alt</t>
        </is>
      </c>
      <c r="O2504" t="n">
        <v>-30</v>
      </c>
      <c r="P2504" t="n">
        <v>0.007202</v>
      </c>
      <c r="Q2504" t="n">
        <v>-90</v>
      </c>
      <c r="R2504" t="n">
        <v>0.1377</v>
      </c>
      <c r="S2504">
        <f>IMAGE("https://mitra.stanford.edu/kundaje/oak/projects/neuro-variants/variant_position/credible/roussos_2024/variant_figures/roussos_2024.adolescence.Astrocyte/rs79369190_count_position.png",4,220,900)</f>
        <v/>
      </c>
      <c r="T2504">
        <f>IMAGE("https://mitra.stanford.edu/kundaje/oak/projects/neuro-variants/variant_position/credible/roussos_2024/variant_figures/roussos_2024.adolescence.Astrocyte/rs79369190_profile_position.png",4,220,900)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-0.01785341846</v>
      </c>
      <c r="G2505" t="n">
        <v>0.441716034449535</v>
      </c>
      <c r="H2505" t="n">
        <v>0.0193246422914697</v>
      </c>
      <c r="I2505" t="n">
        <v>0.1539701171227621</v>
      </c>
      <c r="J2505" t="n">
        <v>0.0036680710915941</v>
      </c>
      <c r="K2505" t="n">
        <v>0.7659786972680761</v>
      </c>
      <c r="L2505" t="b">
        <v>0</v>
      </c>
      <c r="M2505" t="b">
        <v>0</v>
      </c>
      <c r="N2505" t="inlineStr">
        <is>
          <t>ref</t>
        </is>
      </c>
      <c r="O2505" t="n">
        <v>-60</v>
      </c>
      <c r="P2505" t="n">
        <v>0.003178</v>
      </c>
      <c r="Q2505" t="n">
        <v>50</v>
      </c>
      <c r="R2505" t="n">
        <v>0.1642</v>
      </c>
      <c r="S2505">
        <f>IMAGE("https://mitra.stanford.edu/kundaje/oak/projects/neuro-variants/variant_position/credible/roussos_2024/variant_figures/roussos_2024.adolescence.Astrocyte/rs1440502_count_position.png",4,220,900)</f>
        <v/>
      </c>
      <c r="T2505">
        <f>IMAGE("https://mitra.stanford.edu/kundaje/oak/projects/neuro-variants/variant_position/credible/roussos_2024/variant_figures/roussos_2024.adolescence.Astrocyte/rs1440502_profile_position.png",4,220,900)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0.0443783488</v>
      </c>
      <c r="G2506" t="n">
        <v>0.2623739852835484</v>
      </c>
      <c r="H2506" t="n">
        <v>0.0103352624249282</v>
      </c>
      <c r="I2506" t="n">
        <v>0.7066691245945902</v>
      </c>
      <c r="J2506" t="n">
        <v>0.1375025962080526</v>
      </c>
      <c r="K2506" t="n">
        <v>0.2696577733510271</v>
      </c>
      <c r="L2506" t="b">
        <v>0</v>
      </c>
      <c r="M2506" t="b">
        <v>0</v>
      </c>
      <c r="N2506" t="inlineStr">
        <is>
          <t>alt</t>
        </is>
      </c>
      <c r="O2506" t="n">
        <v>-80</v>
      </c>
      <c r="P2506" t="n">
        <v>0.04282</v>
      </c>
      <c r="Q2506" t="n">
        <v>-50</v>
      </c>
      <c r="R2506" t="n">
        <v>0.11554</v>
      </c>
      <c r="S2506">
        <f>IMAGE("https://mitra.stanford.edu/kundaje/oak/projects/neuro-variants/variant_position/credible/roussos_2024/variant_figures/roussos_2024.adolescence.Astrocyte/rs7634119_count_position.png",4,220,900)</f>
        <v/>
      </c>
      <c r="T2506">
        <f>IMAGE("https://mitra.stanford.edu/kundaje/oak/projects/neuro-variants/variant_position/credible/roussos_2024/variant_figures/roussos_2024.adolescence.Astrocyte/rs7634119_profile_position.png",4,220,900)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0.008764714099999999</v>
      </c>
      <c r="G2507" t="n">
        <v>0.3946625516064743</v>
      </c>
      <c r="H2507" t="n">
        <v>0.0121534400715568</v>
      </c>
      <c r="I2507" t="n">
        <v>0.5379335817244993</v>
      </c>
      <c r="J2507" t="n">
        <v>0.000662403940302</v>
      </c>
      <c r="K2507" t="n">
        <v>0.914391612712214</v>
      </c>
      <c r="L2507" t="b">
        <v>0</v>
      </c>
      <c r="M2507" t="b">
        <v>0</v>
      </c>
      <c r="N2507" t="inlineStr">
        <is>
          <t>alt</t>
        </is>
      </c>
      <c r="O2507" t="n">
        <v>-100</v>
      </c>
      <c r="P2507" t="n">
        <v>0.00814</v>
      </c>
      <c r="Q2507" t="n">
        <v>100</v>
      </c>
      <c r="R2507" t="n">
        <v>0.6494</v>
      </c>
      <c r="S2507">
        <f>IMAGE("https://mitra.stanford.edu/kundaje/oak/projects/neuro-variants/variant_position/credible/roussos_2024/variant_figures/roussos_2024.adolescence.Astrocyte/rs140030786_count_position.png",4,220,900)</f>
        <v/>
      </c>
      <c r="T2507">
        <f>IMAGE("https://mitra.stanford.edu/kundaje/oak/projects/neuro-variants/variant_position/credible/roussos_2024/variant_figures/roussos_2024.adolescence.Astrocyte/rs140030786_profile_position.png",4,220,900)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0.02149117648</v>
      </c>
      <c r="G2508" t="n">
        <v>0.5346090713550522</v>
      </c>
      <c r="H2508" t="n">
        <v>0.0159592624418157</v>
      </c>
      <c r="I2508" t="n">
        <v>0.2825842761871024</v>
      </c>
      <c r="J2508" t="n">
        <v>0.0112512239266533</v>
      </c>
      <c r="K2508" t="n">
        <v>0.6834201279078018</v>
      </c>
      <c r="L2508" t="b">
        <v>0</v>
      </c>
      <c r="M2508" t="b">
        <v>0</v>
      </c>
      <c r="N2508" t="inlineStr">
        <is>
          <t>alt</t>
        </is>
      </c>
      <c r="O2508" t="n">
        <v>95</v>
      </c>
      <c r="P2508" t="n">
        <v>0.004517</v>
      </c>
      <c r="Q2508" t="n">
        <v>5</v>
      </c>
      <c r="R2508" t="n">
        <v>0.0105</v>
      </c>
      <c r="S2508">
        <f>IMAGE("https://mitra.stanford.edu/kundaje/oak/projects/neuro-variants/variant_position/credible/roussos_2024/variant_figures/roussos_2024.adolescence.Astrocyte/rs7632532_count_position.png",4,220,900)</f>
        <v/>
      </c>
      <c r="T2508">
        <f>IMAGE("https://mitra.stanford.edu/kundaje/oak/projects/neuro-variants/variant_position/credible/roussos_2024/variant_figures/roussos_2024.adolescence.Astrocyte/rs7632532_profile_position.png",4,220,900)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0.0363140738</v>
      </c>
      <c r="G2509" t="n">
        <v>0.3441776859488901</v>
      </c>
      <c r="H2509" t="n">
        <v>0.0316608498848597</v>
      </c>
      <c r="I2509" t="n">
        <v>0.0250698115203783</v>
      </c>
      <c r="J2509" t="n">
        <v>0.0022230958668367</v>
      </c>
      <c r="K2509" t="n">
        <v>0.8234114271612309</v>
      </c>
      <c r="L2509" t="b">
        <v>0</v>
      </c>
      <c r="M2509" t="b">
        <v>0</v>
      </c>
      <c r="N2509" t="inlineStr">
        <is>
          <t>alt</t>
        </is>
      </c>
      <c r="O2509" t="n">
        <v>80</v>
      </c>
      <c r="P2509" t="n">
        <v>0.007889999999999999</v>
      </c>
      <c r="Q2509" t="n">
        <v>10</v>
      </c>
      <c r="R2509" t="n">
        <v>0.009889999999999999</v>
      </c>
      <c r="S2509">
        <f>IMAGE("https://mitra.stanford.edu/kundaje/oak/projects/neuro-variants/variant_position/credible/roussos_2024/variant_figures/roussos_2024.adolescence.Astrocyte/rs7634890_count_position.png",4,220,900)</f>
        <v/>
      </c>
      <c r="T2509">
        <f>IMAGE("https://mitra.stanford.edu/kundaje/oak/projects/neuro-variants/variant_position/credible/roussos_2024/variant_figures/roussos_2024.adolescence.Astrocyte/rs7634890_profile_position.png",4,220,900)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0.08098682359999999</v>
      </c>
      <c r="G2510" t="n">
        <v>0.1291376555585075</v>
      </c>
      <c r="H2510" t="n">
        <v>0.0190723913436872</v>
      </c>
      <c r="I2510" t="n">
        <v>0.1593410983470444</v>
      </c>
      <c r="J2510" t="n">
        <v>0.0987063466160282</v>
      </c>
      <c r="K2510" t="n">
        <v>0.3318448724382266</v>
      </c>
      <c r="L2510" t="b">
        <v>0</v>
      </c>
      <c r="M2510" t="b">
        <v>0</v>
      </c>
      <c r="N2510" t="inlineStr">
        <is>
          <t>alt</t>
        </is>
      </c>
      <c r="O2510" t="n">
        <v>35</v>
      </c>
      <c r="P2510" t="n">
        <v>0.00177</v>
      </c>
      <c r="Q2510" t="n">
        <v>75</v>
      </c>
      <c r="R2510" t="n">
        <v>0.1105</v>
      </c>
      <c r="S2510">
        <f>IMAGE("https://mitra.stanford.edu/kundaje/oak/projects/neuro-variants/variant_position/credible/roussos_2024/variant_figures/roussos_2024.adolescence.Astrocyte/rs1595901_count_position.png",4,220,900)</f>
        <v/>
      </c>
      <c r="T2510">
        <f>IMAGE("https://mitra.stanford.edu/kundaje/oak/projects/neuro-variants/variant_position/credible/roussos_2024/variant_figures/roussos_2024.adolescence.Astrocyte/rs1595901_profile_position.png",4,220,900)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0.1017333298</v>
      </c>
      <c r="G2511" t="n">
        <v>0.07847187582710111</v>
      </c>
      <c r="H2511" t="n">
        <v>0.0161845405391267</v>
      </c>
      <c r="I2511" t="n">
        <v>0.2653891477143823</v>
      </c>
      <c r="J2511" t="n">
        <v>0.0208660950063791</v>
      </c>
      <c r="K2511" t="n">
        <v>0.5755012697153004</v>
      </c>
      <c r="L2511" t="b">
        <v>0</v>
      </c>
      <c r="M2511" t="b">
        <v>0</v>
      </c>
      <c r="N2511" t="inlineStr">
        <is>
          <t>alt</t>
        </is>
      </c>
      <c r="O2511" t="n">
        <v>-100</v>
      </c>
      <c r="P2511" t="n">
        <v>0.005653</v>
      </c>
      <c r="Q2511" t="n">
        <v>5</v>
      </c>
      <c r="R2511" t="n">
        <v>0.0105</v>
      </c>
      <c r="S2511">
        <f>IMAGE("https://mitra.stanford.edu/kundaje/oak/projects/neuro-variants/variant_position/credible/roussos_2024/variant_figures/roussos_2024.adolescence.Astrocyte/rs6780082_count_position.png",4,220,900)</f>
        <v/>
      </c>
      <c r="T2511">
        <f>IMAGE("https://mitra.stanford.edu/kundaje/oak/projects/neuro-variants/variant_position/credible/roussos_2024/variant_figures/roussos_2024.adolescence.Astrocyte/rs6780082_profile_position.png",4,220,900)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-0.039266225</v>
      </c>
      <c r="G2512" t="n">
        <v>0.3249330720419126</v>
      </c>
      <c r="H2512" t="n">
        <v>0.008986582306005301</v>
      </c>
      <c r="I2512" t="n">
        <v>0.8536802805609216</v>
      </c>
      <c r="J2512" t="n">
        <v>0.1427558377592498</v>
      </c>
      <c r="K2512" t="n">
        <v>0.2620515483335774</v>
      </c>
      <c r="L2512" t="b">
        <v>0</v>
      </c>
      <c r="M2512" t="b">
        <v>0</v>
      </c>
      <c r="N2512" t="inlineStr">
        <is>
          <t>ref</t>
        </is>
      </c>
      <c r="O2512" t="n">
        <v>-5</v>
      </c>
      <c r="P2512" t="n">
        <v>0.000473</v>
      </c>
      <c r="Q2512" t="n">
        <v>-10</v>
      </c>
      <c r="R2512" t="n">
        <v>0.04028</v>
      </c>
      <c r="S2512">
        <f>IMAGE("https://mitra.stanford.edu/kundaje/oak/projects/neuro-variants/variant_position/credible/roussos_2024/variant_figures/roussos_2024.adolescence.Astrocyte/rs17551079_count_position.png",4,220,900)</f>
        <v/>
      </c>
      <c r="T2512">
        <f>IMAGE("https://mitra.stanford.edu/kundaje/oak/projects/neuro-variants/variant_position/credible/roussos_2024/variant_figures/roussos_2024.adolescence.Astrocyte/rs17551079_profile_position.png",4,220,900)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-0.01015779576</v>
      </c>
      <c r="G2513" t="n">
        <v>0.691311076291216</v>
      </c>
      <c r="H2513" t="n">
        <v>0.0343223401919234</v>
      </c>
      <c r="I2513" t="n">
        <v>0.018213304409146</v>
      </c>
      <c r="J2513" t="n">
        <v>0.1332804201406402</v>
      </c>
      <c r="K2513" t="n">
        <v>0.2756329421197037</v>
      </c>
      <c r="L2513" t="b">
        <v>1</v>
      </c>
      <c r="M2513" t="b">
        <v>0</v>
      </c>
      <c r="N2513" t="inlineStr">
        <is>
          <t>ref</t>
        </is>
      </c>
      <c r="O2513" t="n">
        <v>50</v>
      </c>
      <c r="P2513" t="n">
        <v>0.007996</v>
      </c>
      <c r="Q2513" t="n">
        <v>-100</v>
      </c>
      <c r="R2513" t="n">
        <v>0.1114</v>
      </c>
      <c r="S2513">
        <f>IMAGE("https://mitra.stanford.edu/kundaje/oak/projects/neuro-variants/variant_position/credible/roussos_2024/variant_figures/roussos_2024.adolescence.Astrocyte/rs2028408_count_position.png",4,220,900)</f>
        <v/>
      </c>
      <c r="T2513">
        <f>IMAGE("https://mitra.stanford.edu/kundaje/oak/projects/neuro-variants/variant_position/credible/roussos_2024/variant_figures/roussos_2024.adolescence.Astrocyte/rs2028408_profile_position.png",4,220,900)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-0.0325917626</v>
      </c>
      <c r="G2514" t="n">
        <v>0.3896916771929046</v>
      </c>
      <c r="H2514" t="n">
        <v>0.0506131246278724</v>
      </c>
      <c r="I2514" t="n">
        <v>0.0036979672924762</v>
      </c>
      <c r="J2514" t="n">
        <v>0.1329822271014449</v>
      </c>
      <c r="K2514" t="n">
        <v>0.2758423028443709</v>
      </c>
      <c r="L2514" t="b">
        <v>1</v>
      </c>
      <c r="M2514" t="b">
        <v>1</v>
      </c>
      <c r="N2514" t="inlineStr">
        <is>
          <t>ref</t>
        </is>
      </c>
      <c r="O2514" t="n">
        <v>45</v>
      </c>
      <c r="P2514" t="n">
        <v>0.005066</v>
      </c>
      <c r="Q2514" t="n">
        <v>-100</v>
      </c>
      <c r="R2514" t="n">
        <v>0.1299</v>
      </c>
      <c r="S2514">
        <f>IMAGE("https://mitra.stanford.edu/kundaje/oak/projects/neuro-variants/variant_position/credible/roussos_2024/variant_figures/roussos_2024.adolescence.Astrocyte/rs2028409_count_position.png",4,220,900)</f>
        <v/>
      </c>
      <c r="T2514">
        <f>IMAGE("https://mitra.stanford.edu/kundaje/oak/projects/neuro-variants/variant_position/credible/roussos_2024/variant_figures/roussos_2024.adolescence.Astrocyte/rs2028409_profile_position.png",4,220,900)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-0.00260427542</v>
      </c>
      <c r="G2515" t="n">
        <v>0.8527439990015293</v>
      </c>
      <c r="H2515" t="n">
        <v>0.0119143936797554</v>
      </c>
      <c r="I2515" t="n">
        <v>0.5617016311476848</v>
      </c>
      <c r="J2515" t="n">
        <v>0.0382102483458445</v>
      </c>
      <c r="K2515" t="n">
        <v>0.4805840583395615</v>
      </c>
      <c r="L2515" t="b">
        <v>0</v>
      </c>
      <c r="M2515" t="b">
        <v>0</v>
      </c>
      <c r="N2515" t="inlineStr">
        <is>
          <t>ref</t>
        </is>
      </c>
      <c r="O2515" t="n">
        <v>-15</v>
      </c>
      <c r="P2515" t="n">
        <v>0.001141</v>
      </c>
      <c r="Q2515" t="n">
        <v>45</v>
      </c>
      <c r="R2515" t="n">
        <v>0.04175</v>
      </c>
      <c r="S2515">
        <f>IMAGE("https://mitra.stanford.edu/kundaje/oak/projects/neuro-variants/variant_position/credible/roussos_2024/variant_figures/roussos_2024.adolescence.Astrocyte/rs12715161_count_position.png",4,220,900)</f>
        <v/>
      </c>
      <c r="T2515">
        <f>IMAGE("https://mitra.stanford.edu/kundaje/oak/projects/neuro-variants/variant_position/credible/roussos_2024/variant_figures/roussos_2024.adolescence.Astrocyte/rs12715161_profile_position.png",4,220,900)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0.0317801806</v>
      </c>
      <c r="G2516" t="n">
        <v>0.3841000137199828</v>
      </c>
      <c r="H2516" t="n">
        <v>0.0340638984458628</v>
      </c>
      <c r="I2516" t="n">
        <v>0.018662868285498</v>
      </c>
      <c r="J2516" t="n">
        <v>0.0403280123431148</v>
      </c>
      <c r="K2516" t="n">
        <v>0.471179325644969</v>
      </c>
      <c r="L2516" t="b">
        <v>1</v>
      </c>
      <c r="M2516" t="b">
        <v>0</v>
      </c>
      <c r="N2516" t="inlineStr">
        <is>
          <t>alt</t>
        </is>
      </c>
      <c r="O2516" t="n">
        <v>-75</v>
      </c>
      <c r="P2516" t="n">
        <v>0.008279999999999999</v>
      </c>
      <c r="Q2516" t="n">
        <v>70</v>
      </c>
      <c r="R2516" t="n">
        <v>0.1888</v>
      </c>
      <c r="S2516">
        <f>IMAGE("https://mitra.stanford.edu/kundaje/oak/projects/neuro-variants/variant_position/credible/roussos_2024/variant_figures/roussos_2024.adolescence.Astrocyte/rs7340606_count_position.png",4,220,900)</f>
        <v/>
      </c>
      <c r="T2516">
        <f>IMAGE("https://mitra.stanford.edu/kundaje/oak/projects/neuro-variants/variant_position/credible/roussos_2024/variant_figures/roussos_2024.adolescence.Astrocyte/rs7340606_profile_position.png",4,220,900)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-0.00237176246</v>
      </c>
      <c r="G2517" t="n">
        <v>0.7513053022589166</v>
      </c>
      <c r="H2517" t="n">
        <v>0.0163985581646997</v>
      </c>
      <c r="I2517" t="n">
        <v>0.2559940689246632</v>
      </c>
      <c r="J2517" t="n">
        <v>0.0149422900038571</v>
      </c>
      <c r="K2517" t="n">
        <v>0.6197087514606174</v>
      </c>
      <c r="L2517" t="b">
        <v>0</v>
      </c>
      <c r="M2517" t="b">
        <v>0</v>
      </c>
      <c r="N2517" t="inlineStr">
        <is>
          <t>ref</t>
        </is>
      </c>
      <c r="O2517" t="n">
        <v>-50</v>
      </c>
      <c r="P2517" t="n">
        <v>0.00598</v>
      </c>
      <c r="Q2517" t="n">
        <v>-5</v>
      </c>
      <c r="R2517" t="n">
        <v>0.01227</v>
      </c>
      <c r="S2517">
        <f>IMAGE("https://mitra.stanford.edu/kundaje/oak/projects/neuro-variants/variant_position/credible/roussos_2024/variant_figures/roussos_2024.adolescence.Astrocyte/rs7612854_count_position.png",4,220,900)</f>
        <v/>
      </c>
      <c r="T2517">
        <f>IMAGE("https://mitra.stanford.edu/kundaje/oak/projects/neuro-variants/variant_position/credible/roussos_2024/variant_figures/roussos_2024.adolescence.Astrocyte/rs7612854_profile_position.png",4,220,900)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0.0002679086399999</v>
      </c>
      <c r="G2518" t="n">
        <v>0.6714605221996911</v>
      </c>
      <c r="H2518" t="n">
        <v>0.0483666935475097</v>
      </c>
      <c r="I2518" t="n">
        <v>0.0043948692980257</v>
      </c>
      <c r="J2518" t="n">
        <v>0.0011274960685992</v>
      </c>
      <c r="K2518" t="n">
        <v>0.876153807161296</v>
      </c>
      <c r="L2518" t="b">
        <v>0</v>
      </c>
      <c r="M2518" t="b">
        <v>0</v>
      </c>
      <c r="N2518" t="inlineStr">
        <is>
          <t>alt</t>
        </is>
      </c>
      <c r="O2518" t="n">
        <v>0</v>
      </c>
      <c r="P2518" t="n">
        <v>0</v>
      </c>
      <c r="Q2518" t="n">
        <v>-90</v>
      </c>
      <c r="R2518" t="n">
        <v>0.09143</v>
      </c>
      <c r="S2518">
        <f>IMAGE("https://mitra.stanford.edu/kundaje/oak/projects/neuro-variants/variant_position/credible/roussos_2024/variant_figures/roussos_2024.adolescence.Astrocyte/rs1449281_count_position.png",4,220,900)</f>
        <v/>
      </c>
      <c r="T2518">
        <f>IMAGE("https://mitra.stanford.edu/kundaje/oak/projects/neuro-variants/variant_position/credible/roussos_2024/variant_figures/roussos_2024.adolescence.Astrocyte/rs1449281_profile_position.png",4,220,900)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0.0222762796</v>
      </c>
      <c r="G2519" t="n">
        <v>0.4931364452790988</v>
      </c>
      <c r="H2519" t="n">
        <v>0.0107948725445237</v>
      </c>
      <c r="I2519" t="n">
        <v>0.673859516707407</v>
      </c>
      <c r="J2519" t="n">
        <v>0.0035857342076372</v>
      </c>
      <c r="K2519" t="n">
        <v>0.7722625371107448</v>
      </c>
      <c r="L2519" t="b">
        <v>0</v>
      </c>
      <c r="M2519" t="b">
        <v>0</v>
      </c>
      <c r="N2519" t="inlineStr">
        <is>
          <t>alt</t>
        </is>
      </c>
      <c r="O2519" t="n">
        <v>100</v>
      </c>
      <c r="P2519" t="n">
        <v>0.01611</v>
      </c>
      <c r="Q2519" t="n">
        <v>80</v>
      </c>
      <c r="R2519" t="n">
        <v>0.05853</v>
      </c>
      <c r="S2519">
        <f>IMAGE("https://mitra.stanford.edu/kundaje/oak/projects/neuro-variants/variant_position/credible/roussos_2024/variant_figures/roussos_2024.adolescence.Astrocyte/rs3773124_count_position.png",4,220,900)</f>
        <v/>
      </c>
      <c r="T2519">
        <f>IMAGE("https://mitra.stanford.edu/kundaje/oak/projects/neuro-variants/variant_position/credible/roussos_2024/variant_figures/roussos_2024.adolescence.Astrocyte/rs3773124_profile_position.png",4,220,900)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0.0398670744</v>
      </c>
      <c r="G2520" t="n">
        <v>0.3194784921776485</v>
      </c>
      <c r="H2520" t="n">
        <v>0.0259548588767982</v>
      </c>
      <c r="I2520" t="n">
        <v>0.0554562324548435</v>
      </c>
      <c r="J2520" t="n">
        <v>0.0216456991959172</v>
      </c>
      <c r="K2520" t="n">
        <v>0.5814892883369956</v>
      </c>
      <c r="L2520" t="b">
        <v>0</v>
      </c>
      <c r="M2520" t="b">
        <v>0</v>
      </c>
      <c r="N2520" t="inlineStr">
        <is>
          <t>alt</t>
        </is>
      </c>
      <c r="O2520" t="n">
        <v>80</v>
      </c>
      <c r="P2520" t="n">
        <v>0.02075</v>
      </c>
      <c r="Q2520" t="n">
        <v>85</v>
      </c>
      <c r="R2520" t="n">
        <v>0.218</v>
      </c>
      <c r="S2520">
        <f>IMAGE("https://mitra.stanford.edu/kundaje/oak/projects/neuro-variants/variant_position/credible/roussos_2024/variant_figures/roussos_2024.adolescence.Astrocyte/rs4680866_count_position.png",4,220,900)</f>
        <v/>
      </c>
      <c r="T2520">
        <f>IMAGE("https://mitra.stanford.edu/kundaje/oak/projects/neuro-variants/variant_position/credible/roussos_2024/variant_figures/roussos_2024.adolescence.Astrocyte/rs4680866_profile_position.png",4,220,900)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0.0098394474</v>
      </c>
      <c r="G2521" t="n">
        <v>0.52769102494511</v>
      </c>
      <c r="H2521" t="n">
        <v>0.0181993153208227</v>
      </c>
      <c r="I2521" t="n">
        <v>0.1882423678077409</v>
      </c>
      <c r="J2521" t="n">
        <v>0.0021696881583241</v>
      </c>
      <c r="K2521" t="n">
        <v>0.8208855680504519</v>
      </c>
      <c r="L2521" t="b">
        <v>0</v>
      </c>
      <c r="M2521" t="b">
        <v>0</v>
      </c>
      <c r="N2521" t="inlineStr">
        <is>
          <t>alt</t>
        </is>
      </c>
      <c r="O2521" t="n">
        <v>75</v>
      </c>
      <c r="P2521" t="n">
        <v>0.004505</v>
      </c>
      <c r="Q2521" t="n">
        <v>75</v>
      </c>
      <c r="R2521" t="n">
        <v>0.02835</v>
      </c>
      <c r="S2521">
        <f>IMAGE("https://mitra.stanford.edu/kundaje/oak/projects/neuro-variants/variant_position/credible/roussos_2024/variant_figures/roussos_2024.adolescence.Astrocyte/rs62237196_count_position.png",4,220,900)</f>
        <v/>
      </c>
      <c r="T2521">
        <f>IMAGE("https://mitra.stanford.edu/kundaje/oak/projects/neuro-variants/variant_position/credible/roussos_2024/variant_figures/roussos_2024.adolescence.Astrocyte/rs62237196_profile_position.png",4,220,900)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0.0255923766</v>
      </c>
      <c r="G2522" t="n">
        <v>0.4525703985790937</v>
      </c>
      <c r="H2522" t="n">
        <v>0.0267540935691176</v>
      </c>
      <c r="I2522" t="n">
        <v>0.0508739952708844</v>
      </c>
      <c r="J2522" t="n">
        <v>0.0042303355784351</v>
      </c>
      <c r="K2522" t="n">
        <v>0.7789207076856772</v>
      </c>
      <c r="L2522" t="b">
        <v>0</v>
      </c>
      <c r="M2522" t="b">
        <v>0</v>
      </c>
      <c r="N2522" t="inlineStr">
        <is>
          <t>alt</t>
        </is>
      </c>
      <c r="O2522" t="n">
        <v>80</v>
      </c>
      <c r="P2522" t="n">
        <v>0.007782</v>
      </c>
      <c r="Q2522" t="n">
        <v>100</v>
      </c>
      <c r="R2522" t="n">
        <v>0.2073</v>
      </c>
      <c r="S2522">
        <f>IMAGE("https://mitra.stanford.edu/kundaje/oak/projects/neuro-variants/variant_position/credible/roussos_2024/variant_figures/roussos_2024.adolescence.Astrocyte/rs56077410_count_position.png",4,220,900)</f>
        <v/>
      </c>
      <c r="T2522">
        <f>IMAGE("https://mitra.stanford.edu/kundaje/oak/projects/neuro-variants/variant_position/credible/roussos_2024/variant_figures/roussos_2024.adolescence.Astrocyte/rs56077410_profile_position.png",4,220,900)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0.00619784852</v>
      </c>
      <c r="G2523" t="n">
        <v>0.64797991351708</v>
      </c>
      <c r="H2523" t="n">
        <v>0.0356771561469621</v>
      </c>
      <c r="I2523" t="n">
        <v>0.017831961789927</v>
      </c>
      <c r="J2523" t="n">
        <v>0.8863943862564163</v>
      </c>
      <c r="K2523" t="n">
        <v>0.0022529138808623</v>
      </c>
      <c r="L2523" t="b">
        <v>1</v>
      </c>
      <c r="M2523" t="b">
        <v>0</v>
      </c>
      <c r="N2523" t="inlineStr">
        <is>
          <t>alt</t>
        </is>
      </c>
      <c r="O2523" t="n">
        <v>100</v>
      </c>
      <c r="P2523" t="n">
        <v>0.02747</v>
      </c>
      <c r="Q2523" t="n">
        <v>100</v>
      </c>
      <c r="R2523" t="n">
        <v>0.4758</v>
      </c>
      <c r="S2523">
        <f>IMAGE("https://mitra.stanford.edu/kundaje/oak/projects/neuro-variants/variant_position/credible/roussos_2024/variant_figures/roussos_2024.adolescence.Astrocyte/rs76150980_count_position.png",4,220,900)</f>
        <v/>
      </c>
      <c r="T2523">
        <f>IMAGE("https://mitra.stanford.edu/kundaje/oak/projects/neuro-variants/variant_position/credible/roussos_2024/variant_figures/roussos_2024.adolescence.Astrocyte/rs76150980_profile_position.png",4,220,900)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0.020575905</v>
      </c>
      <c r="G2524" t="n">
        <v>0.5302139611346094</v>
      </c>
      <c r="H2524" t="n">
        <v>0.0142461857455895</v>
      </c>
      <c r="I2524" t="n">
        <v>0.3726549925281923</v>
      </c>
      <c r="J2524" t="n">
        <v>0.0942512535976025</v>
      </c>
      <c r="K2524" t="n">
        <v>0.3358290475630246</v>
      </c>
      <c r="L2524" t="b">
        <v>0</v>
      </c>
      <c r="M2524" t="b">
        <v>0</v>
      </c>
      <c r="N2524" t="inlineStr">
        <is>
          <t>alt</t>
        </is>
      </c>
      <c r="O2524" t="n">
        <v>70</v>
      </c>
      <c r="P2524" t="n">
        <v>0.01338</v>
      </c>
      <c r="Q2524" t="n">
        <v>80</v>
      </c>
      <c r="R2524" t="n">
        <v>0.1509</v>
      </c>
      <c r="S2524">
        <f>IMAGE("https://mitra.stanford.edu/kundaje/oak/projects/neuro-variants/variant_position/credible/roussos_2024/variant_figures/roussos_2024.adolescence.Astrocyte/rs62244405_count_position.png",4,220,900)</f>
        <v/>
      </c>
      <c r="T2524">
        <f>IMAGE("https://mitra.stanford.edu/kundaje/oak/projects/neuro-variants/variant_position/credible/roussos_2024/variant_figures/roussos_2024.adolescence.Astrocyte/rs62244405_profile_position.png",4,220,900)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-0.1265082818</v>
      </c>
      <c r="G2525" t="n">
        <v>0.0598300789158658</v>
      </c>
      <c r="H2525" t="n">
        <v>0.0240014546164902</v>
      </c>
      <c r="I2525" t="n">
        <v>0.0768889773483275</v>
      </c>
      <c r="J2525" t="n">
        <v>0.1136174821232531</v>
      </c>
      <c r="K2525" t="n">
        <v>0.3037760389331025</v>
      </c>
      <c r="L2525" t="b">
        <v>0</v>
      </c>
      <c r="M2525" t="b">
        <v>0</v>
      </c>
      <c r="N2525" t="inlineStr">
        <is>
          <t>ref</t>
        </is>
      </c>
      <c r="O2525" t="n">
        <v>-20</v>
      </c>
      <c r="P2525" t="n">
        <v>0.0008965000000000001</v>
      </c>
      <c r="Q2525" t="n">
        <v>-75</v>
      </c>
      <c r="R2525" t="n">
        <v>0.04626</v>
      </c>
      <c r="S2525">
        <f>IMAGE("https://mitra.stanford.edu/kundaje/oak/projects/neuro-variants/variant_position/credible/roussos_2024/variant_figures/roussos_2024.adolescence.Astrocyte/rs17028710_count_position.png",4,220,900)</f>
        <v/>
      </c>
      <c r="T2525">
        <f>IMAGE("https://mitra.stanford.edu/kundaje/oak/projects/neuro-variants/variant_position/credible/roussos_2024/variant_figures/roussos_2024.adolescence.Astrocyte/rs17028710_profile_position.png",4,220,900)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0.03680900884</v>
      </c>
      <c r="G2526" t="n">
        <v>0.3154446433414983</v>
      </c>
      <c r="H2526" t="n">
        <v>0.0117440580451885</v>
      </c>
      <c r="I2526" t="n">
        <v>0.5772250358583799</v>
      </c>
      <c r="J2526" t="n">
        <v>0.0313302970062011</v>
      </c>
      <c r="K2526" t="n">
        <v>0.5107877542717284</v>
      </c>
      <c r="L2526" t="b">
        <v>0</v>
      </c>
      <c r="M2526" t="b">
        <v>0</v>
      </c>
      <c r="N2526" t="inlineStr">
        <is>
          <t>alt</t>
        </is>
      </c>
      <c r="O2526" t="n">
        <v>-65</v>
      </c>
      <c r="P2526" t="n">
        <v>0.001137</v>
      </c>
      <c r="Q2526" t="n">
        <v>95</v>
      </c>
      <c r="R2526" t="n">
        <v>0.2693</v>
      </c>
      <c r="S2526">
        <f>IMAGE("https://mitra.stanford.edu/kundaje/oak/projects/neuro-variants/variant_position/credible/roussos_2024/variant_figures/roussos_2024.adolescence.Astrocyte/rs17028714_count_position.png",4,220,900)</f>
        <v/>
      </c>
      <c r="T2526">
        <f>IMAGE("https://mitra.stanford.edu/kundaje/oak/projects/neuro-variants/variant_position/credible/roussos_2024/variant_figures/roussos_2024.adolescence.Astrocyte/rs17028714_profile_position.png",4,220,900)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0.009574094</v>
      </c>
      <c r="G2527" t="n">
        <v>0.6511188296920557</v>
      </c>
      <c r="H2527" t="n">
        <v>0.0099949241174735</v>
      </c>
      <c r="I2527" t="n">
        <v>0.7600177267694206</v>
      </c>
      <c r="J2527" t="n">
        <v>0.038758419131828</v>
      </c>
      <c r="K2527" t="n">
        <v>0.48047127430921</v>
      </c>
      <c r="L2527" t="b">
        <v>0</v>
      </c>
      <c r="M2527" t="b">
        <v>0</v>
      </c>
      <c r="N2527" t="inlineStr">
        <is>
          <t>alt</t>
        </is>
      </c>
      <c r="O2527" t="n">
        <v>-90</v>
      </c>
      <c r="P2527" t="n">
        <v>0.0056</v>
      </c>
      <c r="Q2527" t="n">
        <v>-100</v>
      </c>
      <c r="R2527" t="n">
        <v>0.2137</v>
      </c>
      <c r="S2527">
        <f>IMAGE("https://mitra.stanford.edu/kundaje/oak/projects/neuro-variants/variant_position/credible/roussos_2024/variant_figures/roussos_2024.adolescence.Astrocyte/rs17028716_count_position.png",4,220,900)</f>
        <v/>
      </c>
      <c r="T2527">
        <f>IMAGE("https://mitra.stanford.edu/kundaje/oak/projects/neuro-variants/variant_position/credible/roussos_2024/variant_figures/roussos_2024.adolescence.Astrocyte/rs17028716_profile_position.png",4,220,900)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0.0120593072</v>
      </c>
      <c r="G2528" t="n">
        <v>0.6733050025479047</v>
      </c>
      <c r="H2528" t="n">
        <v>0.009686617501317</v>
      </c>
      <c r="I2528" t="n">
        <v>0.7716377906434816</v>
      </c>
      <c r="J2528" t="n">
        <v>0.07341928018277299</v>
      </c>
      <c r="K2528" t="n">
        <v>0.3884838353462204</v>
      </c>
      <c r="L2528" t="b">
        <v>0</v>
      </c>
      <c r="M2528" t="b">
        <v>0</v>
      </c>
      <c r="N2528" t="inlineStr">
        <is>
          <t>alt</t>
        </is>
      </c>
      <c r="O2528" t="n">
        <v>95</v>
      </c>
      <c r="P2528" t="n">
        <v>0.01326</v>
      </c>
      <c r="Q2528" t="n">
        <v>95</v>
      </c>
      <c r="R2528" t="n">
        <v>0.1433</v>
      </c>
      <c r="S2528">
        <f>IMAGE("https://mitra.stanford.edu/kundaje/oak/projects/neuro-variants/variant_position/credible/roussos_2024/variant_figures/roussos_2024.adolescence.Astrocyte/rs1376606_count_position.png",4,220,900)</f>
        <v/>
      </c>
      <c r="T2528">
        <f>IMAGE("https://mitra.stanford.edu/kundaje/oak/projects/neuro-variants/variant_position/credible/roussos_2024/variant_figures/roussos_2024.adolescence.Astrocyte/rs1376606_profile_position.png",4,220,900)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0.0496046632</v>
      </c>
      <c r="G2529" t="n">
        <v>0.2252577771330948</v>
      </c>
      <c r="H2529" t="n">
        <v>0.0141760254045678</v>
      </c>
      <c r="I2529" t="n">
        <v>0.37136973657172</v>
      </c>
      <c r="J2529" t="n">
        <v>0.0066566774471114</v>
      </c>
      <c r="K2529" t="n">
        <v>0.7196175432201509</v>
      </c>
      <c r="L2529" t="b">
        <v>0</v>
      </c>
      <c r="M2529" t="b">
        <v>0</v>
      </c>
      <c r="N2529" t="inlineStr">
        <is>
          <t>alt</t>
        </is>
      </c>
      <c r="O2529" t="n">
        <v>-35</v>
      </c>
      <c r="P2529" t="n">
        <v>0.00203</v>
      </c>
      <c r="Q2529" t="n">
        <v>-95</v>
      </c>
      <c r="R2529" t="n">
        <v>0.0558</v>
      </c>
      <c r="S2529">
        <f>IMAGE("https://mitra.stanford.edu/kundaje/oak/projects/neuro-variants/variant_position/credible/roussos_2024/variant_figures/roussos_2024.adolescence.Astrocyte/rs1553656_count_position.png",4,220,900)</f>
        <v/>
      </c>
      <c r="T2529">
        <f>IMAGE("https://mitra.stanford.edu/kundaje/oak/projects/neuro-variants/variant_position/credible/roussos_2024/variant_figures/roussos_2024.adolescence.Astrocyte/rs1553656_profile_position.png",4,220,900)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0.46893662</v>
      </c>
      <c r="G2530" t="n">
        <v>0.0016015278914734</v>
      </c>
      <c r="H2530" t="n">
        <v>0.0458035023242927</v>
      </c>
      <c r="I2530" t="n">
        <v>0.0062335452635744</v>
      </c>
      <c r="J2530" t="n">
        <v>0.1766170667299646</v>
      </c>
      <c r="K2530" t="n">
        <v>0.2266897560716651</v>
      </c>
      <c r="L2530" t="b">
        <v>1</v>
      </c>
      <c r="M2530" t="b">
        <v>1</v>
      </c>
      <c r="N2530" t="inlineStr">
        <is>
          <t>alt</t>
        </is>
      </c>
      <c r="O2530" t="n">
        <v>30</v>
      </c>
      <c r="P2530" t="n">
        <v>0.005783</v>
      </c>
      <c r="Q2530" t="n">
        <v>45</v>
      </c>
      <c r="R2530" t="n">
        <v>0.1655</v>
      </c>
      <c r="S2530">
        <f>IMAGE("https://mitra.stanford.edu/kundaje/oak/projects/neuro-variants/variant_position/credible/roussos_2024/variant_figures/roussos_2024.adolescence.Astrocyte/rs4624519_count_position.png",4,220,900)</f>
        <v/>
      </c>
      <c r="T2530">
        <f>IMAGE("https://mitra.stanford.edu/kundaje/oak/projects/neuro-variants/variant_position/credible/roussos_2024/variant_figures/roussos_2024.adolescence.Astrocyte/rs4624519_profile_position.png",4,220,900)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0.0512487158</v>
      </c>
      <c r="G2531" t="n">
        <v>0.2241583295808384</v>
      </c>
      <c r="H2531" t="n">
        <v>0.0554561646378998</v>
      </c>
      <c r="I2531" t="n">
        <v>0.0026626487523052</v>
      </c>
      <c r="J2531" t="n">
        <v>0.020995905409014</v>
      </c>
      <c r="K2531" t="n">
        <v>0.563883981958329</v>
      </c>
      <c r="L2531" t="b">
        <v>1</v>
      </c>
      <c r="M2531" t="b">
        <v>0</v>
      </c>
      <c r="N2531" t="inlineStr">
        <is>
          <t>alt</t>
        </is>
      </c>
      <c r="O2531" t="n">
        <v>65</v>
      </c>
      <c r="P2531" t="n">
        <v>0.007446</v>
      </c>
      <c r="Q2531" t="n">
        <v>50</v>
      </c>
      <c r="R2531" t="n">
        <v>0.0867</v>
      </c>
      <c r="S2531">
        <f>IMAGE("https://mitra.stanford.edu/kundaje/oak/projects/neuro-variants/variant_position/credible/roussos_2024/variant_figures/roussos_2024.adolescence.Astrocyte/rs142802540_count_position.png",4,220,900)</f>
        <v/>
      </c>
      <c r="T2531">
        <f>IMAGE("https://mitra.stanford.edu/kundaje/oak/projects/neuro-variants/variant_position/credible/roussos_2024/variant_figures/roussos_2024.adolescence.Astrocyte/rs142802540_profile_position.png",4,220,900)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-0.00722006402</v>
      </c>
      <c r="G2532" t="n">
        <v>0.5964417309223273</v>
      </c>
      <c r="H2532" t="n">
        <v>0.0110897716513729</v>
      </c>
      <c r="I2532" t="n">
        <v>0.6409782267873469</v>
      </c>
      <c r="J2532" t="n">
        <v>0.4136159985757944</v>
      </c>
      <c r="K2532" t="n">
        <v>0.0820278634617933</v>
      </c>
      <c r="L2532" t="b">
        <v>0</v>
      </c>
      <c r="M2532" t="b">
        <v>0</v>
      </c>
      <c r="N2532" t="inlineStr">
        <is>
          <t>ref</t>
        </is>
      </c>
      <c r="O2532" t="n">
        <v>100</v>
      </c>
      <c r="P2532" t="n">
        <v>0.01714</v>
      </c>
      <c r="Q2532" t="n">
        <v>100</v>
      </c>
      <c r="R2532" t="n">
        <v>0.1622</v>
      </c>
      <c r="S2532">
        <f>IMAGE("https://mitra.stanford.edu/kundaje/oak/projects/neuro-variants/variant_position/credible/roussos_2024/variant_figures/roussos_2024.adolescence.Astrocyte/rs4789_count_position.png",4,220,900)</f>
        <v/>
      </c>
      <c r="T2532">
        <f>IMAGE("https://mitra.stanford.edu/kundaje/oak/projects/neuro-variants/variant_position/credible/roussos_2024/variant_figures/roussos_2024.adolescence.Astrocyte/rs4789_profile_position.png",4,220,900)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0.01552098754</v>
      </c>
      <c r="G2533" t="n">
        <v>0.5373647011109615</v>
      </c>
      <c r="H2533" t="n">
        <v>0.0123291064426256</v>
      </c>
      <c r="I2533" t="n">
        <v>0.5230604281287362</v>
      </c>
      <c r="J2533" t="n">
        <v>0.0227405572204254</v>
      </c>
      <c r="K2533" t="n">
        <v>0.5547436217729129</v>
      </c>
      <c r="L2533" t="b">
        <v>0</v>
      </c>
      <c r="M2533" t="b">
        <v>0</v>
      </c>
      <c r="N2533" t="inlineStr">
        <is>
          <t>alt</t>
        </is>
      </c>
      <c r="O2533" t="n">
        <v>-35</v>
      </c>
      <c r="P2533" t="n">
        <v>0.001953</v>
      </c>
      <c r="Q2533" t="n">
        <v>50</v>
      </c>
      <c r="R2533" t="n">
        <v>0.1395</v>
      </c>
      <c r="S2533">
        <f>IMAGE("https://mitra.stanford.edu/kundaje/oak/projects/neuro-variants/variant_position/credible/roussos_2024/variant_figures/roussos_2024.adolescence.Astrocyte/rs12637912_count_position.png",4,220,900)</f>
        <v/>
      </c>
      <c r="T2533">
        <f>IMAGE("https://mitra.stanford.edu/kundaje/oak/projects/neuro-variants/variant_position/credible/roussos_2024/variant_figures/roussos_2024.adolescence.Astrocyte/rs12637912_profile_position.png",4,220,900)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0.03469642056</v>
      </c>
      <c r="G2534" t="n">
        <v>0.1307253562396426</v>
      </c>
      <c r="H2534" t="n">
        <v>0.0196142014524682</v>
      </c>
      <c r="I2534" t="n">
        <v>0.1546149645182335</v>
      </c>
      <c r="J2534" t="n">
        <v>0.0723689285820253</v>
      </c>
      <c r="K2534" t="n">
        <v>0.3895578341985508</v>
      </c>
      <c r="L2534" t="b">
        <v>0</v>
      </c>
      <c r="M2534" t="b">
        <v>0</v>
      </c>
      <c r="N2534" t="inlineStr">
        <is>
          <t>alt</t>
        </is>
      </c>
      <c r="O2534" t="n">
        <v>35</v>
      </c>
      <c r="P2534" t="n">
        <v>0.002972</v>
      </c>
      <c r="Q2534" t="n">
        <v>85</v>
      </c>
      <c r="R2534" t="n">
        <v>0.11206</v>
      </c>
      <c r="S2534">
        <f>IMAGE("https://mitra.stanford.edu/kundaje/oak/projects/neuro-variants/variant_position/credible/roussos_2024/variant_figures/roussos_2024.adolescence.Astrocyte/rs3732385_count_position.png",4,220,900)</f>
        <v/>
      </c>
      <c r="T2534">
        <f>IMAGE("https://mitra.stanford.edu/kundaje/oak/projects/neuro-variants/variant_position/credible/roussos_2024/variant_figures/roussos_2024.adolescence.Astrocyte/rs3732385_profile_position.png",4,220,900)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0.142893478</v>
      </c>
      <c r="G2535" t="n">
        <v>0.044586330021523</v>
      </c>
      <c r="H2535" t="n">
        <v>0.025844589480715</v>
      </c>
      <c r="I2535" t="n">
        <v>0.0571606984601902</v>
      </c>
      <c r="J2535" t="n">
        <v>0.0284937542651988</v>
      </c>
      <c r="K2535" t="n">
        <v>0.5323018383767922</v>
      </c>
      <c r="L2535" t="b">
        <v>0</v>
      </c>
      <c r="M2535" t="b">
        <v>0</v>
      </c>
      <c r="N2535" t="inlineStr">
        <is>
          <t>alt</t>
        </is>
      </c>
      <c r="O2535" t="n">
        <v>75</v>
      </c>
      <c r="P2535" t="n">
        <v>0.0428</v>
      </c>
      <c r="Q2535" t="n">
        <v>60</v>
      </c>
      <c r="R2535" t="n">
        <v>0.2057</v>
      </c>
      <c r="S2535">
        <f>IMAGE("https://mitra.stanford.edu/kundaje/oak/projects/neuro-variants/variant_position/credible/roussos_2024/variant_figures/roussos_2024.adolescence.Astrocyte/rs4678909_count_position.png",4,220,900)</f>
        <v/>
      </c>
      <c r="T2535">
        <f>IMAGE("https://mitra.stanford.edu/kundaje/oak/projects/neuro-variants/variant_position/credible/roussos_2024/variant_figures/roussos_2024.adolescence.Astrocyte/rs4678909_profile_position.png",4,220,900)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0.0131263237999999</v>
      </c>
      <c r="G2536" t="n">
        <v>0.5238369898229464</v>
      </c>
      <c r="H2536" t="n">
        <v>0.0179067595825396</v>
      </c>
      <c r="I2536" t="n">
        <v>0.194627181143154</v>
      </c>
      <c r="J2536" t="n">
        <v>0.0321195442542206</v>
      </c>
      <c r="K2536" t="n">
        <v>0.5041036065797498</v>
      </c>
      <c r="L2536" t="b">
        <v>0</v>
      </c>
      <c r="M2536" t="b">
        <v>0</v>
      </c>
      <c r="N2536" t="inlineStr">
        <is>
          <t>alt</t>
        </is>
      </c>
      <c r="O2536" t="n">
        <v>-100</v>
      </c>
      <c r="P2536" t="n">
        <v>0.007979999999999999</v>
      </c>
      <c r="Q2536" t="n">
        <v>-80</v>
      </c>
      <c r="R2536" t="n">
        <v>0.04272</v>
      </c>
      <c r="S2536">
        <f>IMAGE("https://mitra.stanford.edu/kundaje/oak/projects/neuro-variants/variant_position/credible/roussos_2024/variant_figures/roussos_2024.adolescence.Astrocyte/rs9863798_count_position.png",4,220,900)</f>
        <v/>
      </c>
      <c r="T2536">
        <f>IMAGE("https://mitra.stanford.edu/kundaje/oak/projects/neuro-variants/variant_position/credible/roussos_2024/variant_figures/roussos_2024.adolescence.Astrocyte/rs9863798_profile_position.png",4,220,900)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-0.0823082844</v>
      </c>
      <c r="G2537" t="n">
        <v>0.1332667394925066</v>
      </c>
      <c r="H2537" t="n">
        <v>0.0157170528547885</v>
      </c>
      <c r="I2537" t="n">
        <v>0.2879943018458953</v>
      </c>
      <c r="J2537" t="n">
        <v>0.0153791947304393</v>
      </c>
      <c r="K2537" t="n">
        <v>0.6048858920492727</v>
      </c>
      <c r="L2537" t="b">
        <v>0</v>
      </c>
      <c r="M2537" t="b">
        <v>0</v>
      </c>
      <c r="N2537" t="inlineStr">
        <is>
          <t>ref</t>
        </is>
      </c>
      <c r="O2537" t="n">
        <v>100</v>
      </c>
      <c r="P2537" t="n">
        <v>0.02492</v>
      </c>
      <c r="Q2537" t="n">
        <v>5</v>
      </c>
      <c r="R2537" t="n">
        <v>0.0105</v>
      </c>
      <c r="S2537">
        <f>IMAGE("https://mitra.stanford.edu/kundaje/oak/projects/neuro-variants/variant_position/credible/roussos_2024/variant_figures/roussos_2024.adolescence.Astrocyte/rs35979223_count_position.png",4,220,900)</f>
        <v/>
      </c>
      <c r="T2537">
        <f>IMAGE("https://mitra.stanford.edu/kundaje/oak/projects/neuro-variants/variant_position/credible/roussos_2024/variant_figures/roussos_2024.adolescence.Astrocyte/rs35979223_profile_position.png",4,220,900)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0.0257709005999999</v>
      </c>
      <c r="G2538" t="n">
        <v>0.4732562156488309</v>
      </c>
      <c r="H2538" t="n">
        <v>0.0103179769301112</v>
      </c>
      <c r="I2538" t="n">
        <v>0.7224395148846056</v>
      </c>
      <c r="J2538" t="n">
        <v>0.0084851496899385</v>
      </c>
      <c r="K2538" t="n">
        <v>0.6854943207115293</v>
      </c>
      <c r="L2538" t="b">
        <v>0</v>
      </c>
      <c r="M2538" t="b">
        <v>0</v>
      </c>
      <c r="N2538" t="inlineStr">
        <is>
          <t>alt</t>
        </is>
      </c>
      <c r="O2538" t="n">
        <v>100</v>
      </c>
      <c r="P2538" t="n">
        <v>0.02228</v>
      </c>
      <c r="Q2538" t="n">
        <v>-85</v>
      </c>
      <c r="R2538" t="n">
        <v>0.1562</v>
      </c>
      <c r="S2538">
        <f>IMAGE("https://mitra.stanford.edu/kundaje/oak/projects/neuro-variants/variant_position/credible/roussos_2024/variant_figures/roussos_2024.adolescence.Astrocyte/rs4678910_count_position.png",4,220,900)</f>
        <v/>
      </c>
      <c r="T2538">
        <f>IMAGE("https://mitra.stanford.edu/kundaje/oak/projects/neuro-variants/variant_position/credible/roussos_2024/variant_figures/roussos_2024.adolescence.Astrocyte/rs4678910_profile_position.png",4,220,900)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0.0539470836</v>
      </c>
      <c r="G2539" t="n">
        <v>0.2045192445837527</v>
      </c>
      <c r="H2539" t="n">
        <v>0.0208165585782737</v>
      </c>
      <c r="I2539" t="n">
        <v>0.1222740358986513</v>
      </c>
      <c r="J2539" t="n">
        <v>0.0110583627570245</v>
      </c>
      <c r="K2539" t="n">
        <v>0.6581586204133781</v>
      </c>
      <c r="L2539" t="b">
        <v>0</v>
      </c>
      <c r="M2539" t="b">
        <v>0</v>
      </c>
      <c r="N2539" t="inlineStr">
        <is>
          <t>alt</t>
        </is>
      </c>
      <c r="O2539" t="n">
        <v>40</v>
      </c>
      <c r="P2539" t="n">
        <v>0.003883</v>
      </c>
      <c r="Q2539" t="n">
        <v>40</v>
      </c>
      <c r="R2539" t="n">
        <v>0.03717</v>
      </c>
      <c r="S2539">
        <f>IMAGE("https://mitra.stanford.edu/kundaje/oak/projects/neuro-variants/variant_position/credible/roussos_2024/variant_figures/roussos_2024.adolescence.Astrocyte/rs4678911_count_position.png",4,220,900)</f>
        <v/>
      </c>
      <c r="T2539">
        <f>IMAGE("https://mitra.stanford.edu/kundaje/oak/projects/neuro-variants/variant_position/credible/roussos_2024/variant_figures/roussos_2024.adolescence.Astrocyte/rs4678911_profile_position.png",4,220,900)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-0.0145513297999999</v>
      </c>
      <c r="G2540" t="n">
        <v>0.6516715000431541</v>
      </c>
      <c r="H2540" t="n">
        <v>0.032174497836533</v>
      </c>
      <c r="I2540" t="n">
        <v>0.0240194396084966</v>
      </c>
      <c r="J2540" t="n">
        <v>0.0102876598522386</v>
      </c>
      <c r="K2540" t="n">
        <v>0.6661661639565374</v>
      </c>
      <c r="L2540" t="b">
        <v>0</v>
      </c>
      <c r="M2540" t="b">
        <v>0</v>
      </c>
      <c r="N2540" t="inlineStr">
        <is>
          <t>ref</t>
        </is>
      </c>
      <c r="O2540" t="n">
        <v>35</v>
      </c>
      <c r="P2540" t="n">
        <v>0.01289</v>
      </c>
      <c r="Q2540" t="n">
        <v>85</v>
      </c>
      <c r="R2540" t="n">
        <v>0.11084</v>
      </c>
      <c r="S2540">
        <f>IMAGE("https://mitra.stanford.edu/kundaje/oak/projects/neuro-variants/variant_position/credible/roussos_2024/variant_figures/roussos_2024.adolescence.Astrocyte/rs9819304_count_position.png",4,220,900)</f>
        <v/>
      </c>
      <c r="T2540">
        <f>IMAGE("https://mitra.stanford.edu/kundaje/oak/projects/neuro-variants/variant_position/credible/roussos_2024/variant_figures/roussos_2024.adolescence.Astrocyte/rs9819304_profile_position.png",4,220,900)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-0.04314647</v>
      </c>
      <c r="G2541" t="n">
        <v>0.2940353709921702</v>
      </c>
      <c r="H2541" t="n">
        <v>0.0138608321960091</v>
      </c>
      <c r="I2541" t="n">
        <v>0.3970557463907493</v>
      </c>
      <c r="J2541" t="n">
        <v>0.0090941459217279</v>
      </c>
      <c r="K2541" t="n">
        <v>0.6797918880174053</v>
      </c>
      <c r="L2541" t="b">
        <v>0</v>
      </c>
      <c r="M2541" t="b">
        <v>0</v>
      </c>
      <c r="N2541" t="inlineStr">
        <is>
          <t>ref</t>
        </is>
      </c>
      <c r="O2541" t="n">
        <v>100</v>
      </c>
      <c r="P2541" t="n">
        <v>0.01678</v>
      </c>
      <c r="Q2541" t="n">
        <v>-50</v>
      </c>
      <c r="R2541" t="n">
        <v>0.09093999999999999</v>
      </c>
      <c r="S2541">
        <f>IMAGE("https://mitra.stanford.edu/kundaje/oak/projects/neuro-variants/variant_position/credible/roussos_2024/variant_figures/roussos_2024.adolescence.Astrocyte/rs9883001_count_position.png",4,220,900)</f>
        <v/>
      </c>
      <c r="T2541">
        <f>IMAGE("https://mitra.stanford.edu/kundaje/oak/projects/neuro-variants/variant_position/credible/roussos_2024/variant_figures/roussos_2024.adolescence.Astrocyte/rs9883001_profile_position.png",4,220,900)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0.0635837928</v>
      </c>
      <c r="G2542" t="n">
        <v>0.179264233692915</v>
      </c>
      <c r="H2542" t="n">
        <v>0.0245985580381272</v>
      </c>
      <c r="I2542" t="n">
        <v>0.06658329011104459</v>
      </c>
      <c r="J2542" t="n">
        <v>0.0221834851496899</v>
      </c>
      <c r="K2542" t="n">
        <v>0.5567686159728895</v>
      </c>
      <c r="L2542" t="b">
        <v>0</v>
      </c>
      <c r="M2542" t="b">
        <v>0</v>
      </c>
      <c r="N2542" t="inlineStr">
        <is>
          <t>alt</t>
        </is>
      </c>
      <c r="O2542" t="n">
        <v>60</v>
      </c>
      <c r="P2542" t="n">
        <v>0.003975</v>
      </c>
      <c r="Q2542" t="n">
        <v>40</v>
      </c>
      <c r="R2542" t="n">
        <v>0.08495999999999999</v>
      </c>
      <c r="S2542">
        <f>IMAGE("https://mitra.stanford.edu/kundaje/oak/projects/neuro-variants/variant_position/credible/roussos_2024/variant_figures/roussos_2024.adolescence.Astrocyte/rs11706780_count_position.png",4,220,900)</f>
        <v/>
      </c>
      <c r="T2542">
        <f>IMAGE("https://mitra.stanford.edu/kundaje/oak/projects/neuro-variants/variant_position/credible/roussos_2024/variant_figures/roussos_2024.adolescence.Astrocyte/rs11706780_profile_position.png",4,220,900)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0.0746646396</v>
      </c>
      <c r="G2543" t="n">
        <v>0.1297103789153719</v>
      </c>
      <c r="H2543" t="n">
        <v>0.0162978132353502</v>
      </c>
      <c r="I2543" t="n">
        <v>0.2559060615602498</v>
      </c>
      <c r="J2543" t="n">
        <v>0.0035108150609737</v>
      </c>
      <c r="K2543" t="n">
        <v>0.7836228577363503</v>
      </c>
      <c r="L2543" t="b">
        <v>0</v>
      </c>
      <c r="M2543" t="b">
        <v>0</v>
      </c>
      <c r="N2543" t="inlineStr">
        <is>
          <t>alt</t>
        </is>
      </c>
      <c r="O2543" t="n">
        <v>-100</v>
      </c>
      <c r="P2543" t="n">
        <v>0.01299</v>
      </c>
      <c r="Q2543" t="n">
        <v>-30</v>
      </c>
      <c r="R2543" t="n">
        <v>0.03607</v>
      </c>
      <c r="S2543">
        <f>IMAGE("https://mitra.stanford.edu/kundaje/oak/projects/neuro-variants/variant_position/credible/roussos_2024/variant_figures/roussos_2024.adolescence.Astrocyte/rs11129739_count_position.png",4,220,900)</f>
        <v/>
      </c>
      <c r="T2543">
        <f>IMAGE("https://mitra.stanford.edu/kundaje/oak/projects/neuro-variants/variant_position/credible/roussos_2024/variant_figures/roussos_2024.adolescence.Astrocyte/rs11129739_profile_position.png",4,220,900)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0.0100584853</v>
      </c>
      <c r="G2544" t="n">
        <v>0.7404448342905539</v>
      </c>
      <c r="H2544" t="n">
        <v>0.0399256410223051</v>
      </c>
      <c r="I2544" t="n">
        <v>0.0096625526894562</v>
      </c>
      <c r="J2544" t="n">
        <v>0.0007825712844553001</v>
      </c>
      <c r="K2544" t="n">
        <v>0.8943821277508471</v>
      </c>
      <c r="L2544" t="b">
        <v>0</v>
      </c>
      <c r="M2544" t="b">
        <v>0</v>
      </c>
      <c r="N2544" t="inlineStr">
        <is>
          <t>alt</t>
        </is>
      </c>
      <c r="O2544" t="n">
        <v>-75</v>
      </c>
      <c r="P2544" t="n">
        <v>0.142</v>
      </c>
      <c r="Q2544" t="n">
        <v>-100</v>
      </c>
      <c r="R2544" t="n">
        <v>0.1879</v>
      </c>
      <c r="S2544">
        <f>IMAGE("https://mitra.stanford.edu/kundaje/oak/projects/neuro-variants/variant_position/credible/roussos_2024/variant_figures/roussos_2024.adolescence.Astrocyte/rs6807351_count_position.png",4,220,900)</f>
        <v/>
      </c>
      <c r="T2544">
        <f>IMAGE("https://mitra.stanford.edu/kundaje/oak/projects/neuro-variants/variant_position/credible/roussos_2024/variant_figures/roussos_2024.adolescence.Astrocyte/rs6807351_profile_position.png",4,220,900)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-0.00749825254</v>
      </c>
      <c r="G2545" t="n">
        <v>0.8102800477613848</v>
      </c>
      <c r="H2545" t="n">
        <v>0.0226704085148186</v>
      </c>
      <c r="I2545" t="n">
        <v>0.09057153460498341</v>
      </c>
      <c r="J2545" t="n">
        <v>0.0135811352105153</v>
      </c>
      <c r="K2545" t="n">
        <v>0.6240404966330371</v>
      </c>
      <c r="L2545" t="b">
        <v>0</v>
      </c>
      <c r="M2545" t="b">
        <v>0</v>
      </c>
      <c r="N2545" t="inlineStr">
        <is>
          <t>ref</t>
        </is>
      </c>
      <c r="O2545" t="n">
        <v>100</v>
      </c>
      <c r="P2545" t="n">
        <v>0.05084</v>
      </c>
      <c r="Q2545" t="n">
        <v>-100</v>
      </c>
      <c r="R2545" t="n">
        <v>0.11554</v>
      </c>
      <c r="S2545">
        <f>IMAGE("https://mitra.stanford.edu/kundaje/oak/projects/neuro-variants/variant_position/credible/roussos_2024/variant_figures/roussos_2024.adolescence.Astrocyte/rs6778309_count_position.png",4,220,900)</f>
        <v/>
      </c>
      <c r="T2545">
        <f>IMAGE("https://mitra.stanford.edu/kundaje/oak/projects/neuro-variants/variant_position/credible/roussos_2024/variant_figures/roussos_2024.adolescence.Astrocyte/rs6778309_profile_position.png",4,220,900)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-0.06988190779999991</v>
      </c>
      <c r="G2546" t="n">
        <v>0.1475310955057888</v>
      </c>
      <c r="H2546" t="n">
        <v>0.0150899227528031</v>
      </c>
      <c r="I2546" t="n">
        <v>0.3157876015538752</v>
      </c>
      <c r="J2546" t="n">
        <v>0.0077456012817849</v>
      </c>
      <c r="K2546" t="n">
        <v>0.7149091918761747</v>
      </c>
      <c r="L2546" t="b">
        <v>0</v>
      </c>
      <c r="M2546" t="b">
        <v>0</v>
      </c>
      <c r="N2546" t="inlineStr">
        <is>
          <t>ref</t>
        </is>
      </c>
      <c r="O2546" t="n">
        <v>100</v>
      </c>
      <c r="P2546" t="n">
        <v>0.00688</v>
      </c>
      <c r="Q2546" t="n">
        <v>-95</v>
      </c>
      <c r="R2546" t="n">
        <v>0.1193</v>
      </c>
      <c r="S2546">
        <f>IMAGE("https://mitra.stanford.edu/kundaje/oak/projects/neuro-variants/variant_position/credible/roussos_2024/variant_figures/roussos_2024.adolescence.Astrocyte/rs113888150_count_position.png",4,220,900)</f>
        <v/>
      </c>
      <c r="T2546">
        <f>IMAGE("https://mitra.stanford.edu/kundaje/oak/projects/neuro-variants/variant_position/credible/roussos_2024/variant_figures/roussos_2024.adolescence.Astrocyte/rs113888150_profile_position.png",4,220,900)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-0.0085752186</v>
      </c>
      <c r="G2547" t="n">
        <v>0.6387497931524141</v>
      </c>
      <c r="H2547" t="n">
        <v>0.0088005735032958</v>
      </c>
      <c r="I2547" t="n">
        <v>0.8539839965971313</v>
      </c>
      <c r="J2547" t="n">
        <v>0.0017557784173515</v>
      </c>
      <c r="K2547" t="n">
        <v>0.8305634653256007</v>
      </c>
      <c r="L2547" t="b">
        <v>0</v>
      </c>
      <c r="M2547" t="b">
        <v>0</v>
      </c>
      <c r="N2547" t="inlineStr">
        <is>
          <t>ref</t>
        </is>
      </c>
      <c r="O2547" t="n">
        <v>100</v>
      </c>
      <c r="P2547" t="n">
        <v>0.011444</v>
      </c>
      <c r="Q2547" t="n">
        <v>60</v>
      </c>
      <c r="R2547" t="n">
        <v>0.1658</v>
      </c>
      <c r="S2547">
        <f>IMAGE("https://mitra.stanford.edu/kundaje/oak/projects/neuro-variants/variant_position/credible/roussos_2024/variant_figures/roussos_2024.adolescence.Astrocyte/rs72862271_count_position.png",4,220,900)</f>
        <v/>
      </c>
      <c r="T2547">
        <f>IMAGE("https://mitra.stanford.edu/kundaje/oak/projects/neuro-variants/variant_position/credible/roussos_2024/variant_figures/roussos_2024.adolescence.Astrocyte/rs72862271_profile_position.png",4,220,900)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0.20288751</v>
      </c>
      <c r="G2548" t="n">
        <v>0.0201630645118623</v>
      </c>
      <c r="H2548" t="n">
        <v>0.0366537694782293</v>
      </c>
      <c r="I2548" t="n">
        <v>0.0149582736216443</v>
      </c>
      <c r="J2548" t="n">
        <v>0.303528617630478</v>
      </c>
      <c r="K2548" t="n">
        <v>0.1324007862871771</v>
      </c>
      <c r="L2548" t="b">
        <v>1</v>
      </c>
      <c r="M2548" t="b">
        <v>0</v>
      </c>
      <c r="N2548" t="inlineStr">
        <is>
          <t>alt</t>
        </is>
      </c>
      <c r="O2548" t="n">
        <v>100</v>
      </c>
      <c r="P2548" t="n">
        <v>0.01011</v>
      </c>
      <c r="Q2548" t="n">
        <v>-75</v>
      </c>
      <c r="R2548" t="n">
        <v>0.07199999999999999</v>
      </c>
      <c r="S2548">
        <f>IMAGE("https://mitra.stanford.edu/kundaje/oak/projects/neuro-variants/variant_position/credible/roussos_2024/variant_figures/roussos_2024.adolescence.Astrocyte/rs1812423_count_position.png",4,220,900)</f>
        <v/>
      </c>
      <c r="T2548">
        <f>IMAGE("https://mitra.stanford.edu/kundaje/oak/projects/neuro-variants/variant_position/credible/roussos_2024/variant_figures/roussos_2024.adolescence.Astrocyte/rs1812423_profile_position.png",4,220,900)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-0.0882709208</v>
      </c>
      <c r="G2549" t="n">
        <v>0.1048588939151001</v>
      </c>
      <c r="H2549" t="n">
        <v>0.0153524243746448</v>
      </c>
      <c r="I2549" t="n">
        <v>0.3118641121273706</v>
      </c>
      <c r="J2549" t="n">
        <v>0.0252047295492982</v>
      </c>
      <c r="K2549" t="n">
        <v>0.5423083912583374</v>
      </c>
      <c r="L2549" t="b">
        <v>0</v>
      </c>
      <c r="M2549" t="b">
        <v>0</v>
      </c>
      <c r="N2549" t="inlineStr">
        <is>
          <t>ref</t>
        </is>
      </c>
      <c r="O2549" t="n">
        <v>0</v>
      </c>
      <c r="P2549" t="n">
        <v>0</v>
      </c>
      <c r="Q2549" t="n">
        <v>-15</v>
      </c>
      <c r="R2549" t="n">
        <v>0.01782</v>
      </c>
      <c r="S2549">
        <f>IMAGE("https://mitra.stanford.edu/kundaje/oak/projects/neuro-variants/variant_position/credible/roussos_2024/variant_figures/roussos_2024.adolescence.Astrocyte/rs9878581_count_position.png",4,220,900)</f>
        <v/>
      </c>
      <c r="T2549">
        <f>IMAGE("https://mitra.stanford.edu/kundaje/oak/projects/neuro-variants/variant_position/credible/roussos_2024/variant_figures/roussos_2024.adolescence.Astrocyte/rs9878581_profile_position.png",4,220,900)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-0.009786440634</v>
      </c>
      <c r="G2550" t="n">
        <v>0.5898205327569863</v>
      </c>
      <c r="H2550" t="n">
        <v>0.0111755498674067</v>
      </c>
      <c r="I2550" t="n">
        <v>0.6177294703715188</v>
      </c>
      <c r="J2550" t="n">
        <v>0.0008938373438565</v>
      </c>
      <c r="K2550" t="n">
        <v>0.8986938848174902</v>
      </c>
      <c r="L2550" t="b">
        <v>0</v>
      </c>
      <c r="M2550" t="b">
        <v>0</v>
      </c>
      <c r="N2550" t="inlineStr">
        <is>
          <t>ref</t>
        </is>
      </c>
      <c r="O2550" t="n">
        <v>80</v>
      </c>
      <c r="P2550" t="n">
        <v>0.010155</v>
      </c>
      <c r="Q2550" t="n">
        <v>-90</v>
      </c>
      <c r="R2550" t="n">
        <v>0.11395</v>
      </c>
      <c r="S2550">
        <f>IMAGE("https://mitra.stanford.edu/kundaje/oak/projects/neuro-variants/variant_position/credible/roussos_2024/variant_figures/roussos_2024.adolescence.Astrocyte/rs34054543_count_position.png",4,220,900)</f>
        <v/>
      </c>
      <c r="T2550">
        <f>IMAGE("https://mitra.stanford.edu/kundaje/oak/projects/neuro-variants/variant_position/credible/roussos_2024/variant_figures/roussos_2024.adolescence.Astrocyte/rs34054543_profile_position.png",4,220,900)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-0.94960988</v>
      </c>
      <c r="G2551" t="n">
        <v>5.974534432263316e-05</v>
      </c>
      <c r="H2551" t="n">
        <v>0.1024677438864613</v>
      </c>
      <c r="I2551" t="n">
        <v>0.0003698218507059</v>
      </c>
      <c r="J2551" t="n">
        <v>0.6173997863691659</v>
      </c>
      <c r="K2551" t="n">
        <v>0.0302787664633255</v>
      </c>
      <c r="L2551" t="b">
        <v>1</v>
      </c>
      <c r="M2551" t="b">
        <v>1</v>
      </c>
      <c r="N2551" t="inlineStr">
        <is>
          <t>ref</t>
        </is>
      </c>
      <c r="O2551" t="n">
        <v>-95</v>
      </c>
      <c r="P2551" t="n">
        <v>0.00656</v>
      </c>
      <c r="Q2551" t="n">
        <v>-85</v>
      </c>
      <c r="R2551" t="n">
        <v>0.0625</v>
      </c>
      <c r="S2551">
        <f>IMAGE("https://mitra.stanford.edu/kundaje/oak/projects/neuro-variants/variant_position/credible/roussos_2024/variant_figures/roussos_2024.adolescence.Astrocyte/rs7627777_count_position.png",4,220,900)</f>
        <v/>
      </c>
      <c r="T2551">
        <f>IMAGE("https://mitra.stanford.edu/kundaje/oak/projects/neuro-variants/variant_position/credible/roussos_2024/variant_figures/roussos_2024.adolescence.Astrocyte/rs7627777_profile_position.png",4,220,900)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0.0070146431999999</v>
      </c>
      <c r="G2552" t="n">
        <v>0.3179304961210486</v>
      </c>
      <c r="H2552" t="n">
        <v>0.025309136987746</v>
      </c>
      <c r="I2552" t="n">
        <v>0.0633021908066722</v>
      </c>
      <c r="J2552" t="n">
        <v>0.7604263715396256</v>
      </c>
      <c r="K2552" t="n">
        <v>0.0113438945940553</v>
      </c>
      <c r="L2552" t="b">
        <v>0</v>
      </c>
      <c r="M2552" t="b">
        <v>0</v>
      </c>
      <c r="N2552" t="inlineStr">
        <is>
          <t>alt</t>
        </is>
      </c>
      <c r="O2552" t="n">
        <v>-70</v>
      </c>
      <c r="P2552" t="n">
        <v>0.00586</v>
      </c>
      <c r="Q2552" t="n">
        <v>-30</v>
      </c>
      <c r="R2552" t="n">
        <v>0.012695</v>
      </c>
      <c r="S2552">
        <f>IMAGE("https://mitra.stanford.edu/kundaje/oak/projects/neuro-variants/variant_position/credible/roussos_2024/variant_figures/roussos_2024.adolescence.Astrocyte/rs140503691_count_position.png",4,220,900)</f>
        <v/>
      </c>
      <c r="T2552">
        <f>IMAGE("https://mitra.stanford.edu/kundaje/oak/projects/neuro-variants/variant_position/credible/roussos_2024/variant_figures/roussos_2024.adolescence.Astrocyte/rs140503691_profile_position.png",4,220,900)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0.1702751049999999</v>
      </c>
      <c r="G2553" t="n">
        <v>0.0259384459228467</v>
      </c>
      <c r="H2553" t="n">
        <v>0.0316136255930186</v>
      </c>
      <c r="I2553" t="n">
        <v>0.0262794375938317</v>
      </c>
      <c r="J2553" t="n">
        <v>0.6991143221671662</v>
      </c>
      <c r="K2553" t="n">
        <v>0.0184397169499789</v>
      </c>
      <c r="L2553" t="b">
        <v>0</v>
      </c>
      <c r="M2553" t="b">
        <v>0</v>
      </c>
      <c r="N2553" t="inlineStr">
        <is>
          <t>alt</t>
        </is>
      </c>
      <c r="O2553" t="n">
        <v>-100</v>
      </c>
      <c r="P2553" t="n">
        <v>0.01912</v>
      </c>
      <c r="Q2553" t="n">
        <v>-35</v>
      </c>
      <c r="R2553" t="n">
        <v>0.03076</v>
      </c>
      <c r="S2553">
        <f>IMAGE("https://mitra.stanford.edu/kundaje/oak/projects/neuro-variants/variant_position/credible/roussos_2024/variant_figures/roussos_2024.adolescence.Astrocyte/rs10212378_count_position.png",4,220,900)</f>
        <v/>
      </c>
      <c r="T2553">
        <f>IMAGE("https://mitra.stanford.edu/kundaje/oak/projects/neuro-variants/variant_position/credible/roussos_2024/variant_figures/roussos_2024.adolescence.Astrocyte/rs10212378_profile_position.png",4,220,900)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0.0043606229999999</v>
      </c>
      <c r="G2554" t="n">
        <v>0.6006870944057221</v>
      </c>
      <c r="H2554" t="n">
        <v>0.0116172073376689</v>
      </c>
      <c r="I2554" t="n">
        <v>0.5965378711567263</v>
      </c>
      <c r="J2554" t="n">
        <v>0.0008248523870278</v>
      </c>
      <c r="K2554" t="n">
        <v>0.8991087497661284</v>
      </c>
      <c r="L2554" t="b">
        <v>0</v>
      </c>
      <c r="M2554" t="b">
        <v>0</v>
      </c>
      <c r="N2554" t="inlineStr">
        <is>
          <t>alt</t>
        </is>
      </c>
      <c r="O2554" t="n">
        <v>95</v>
      </c>
      <c r="P2554" t="n">
        <v>0.02612</v>
      </c>
      <c r="Q2554" t="n">
        <v>-100</v>
      </c>
      <c r="R2554" t="n">
        <v>0.0858</v>
      </c>
      <c r="S2554">
        <f>IMAGE("https://mitra.stanford.edu/kundaje/oak/projects/neuro-variants/variant_position/credible/roussos_2024/variant_figures/roussos_2024.adolescence.Astrocyte/rs9756189_count_position.png",4,220,900)</f>
        <v/>
      </c>
      <c r="T2554">
        <f>IMAGE("https://mitra.stanford.edu/kundaje/oak/projects/neuro-variants/variant_position/credible/roussos_2024/variant_figures/roussos_2024.adolescence.Astrocyte/rs9756189_profile_position.png",4,220,900)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0.00047938994</v>
      </c>
      <c r="G2555" t="n">
        <v>0.8974674483307316</v>
      </c>
      <c r="H2555" t="n">
        <v>0.031485299481574</v>
      </c>
      <c r="I2555" t="n">
        <v>0.0256547638764315</v>
      </c>
      <c r="J2555" t="n">
        <v>0.0075809275138711</v>
      </c>
      <c r="K2555" t="n">
        <v>0.6988723082282721</v>
      </c>
      <c r="L2555" t="b">
        <v>0</v>
      </c>
      <c r="M2555" t="b">
        <v>0</v>
      </c>
      <c r="N2555" t="inlineStr">
        <is>
          <t>alt</t>
        </is>
      </c>
      <c r="O2555" t="n">
        <v>-100</v>
      </c>
      <c r="P2555" t="n">
        <v>0.008970000000000001</v>
      </c>
      <c r="Q2555" t="n">
        <v>25</v>
      </c>
      <c r="R2555" t="n">
        <v>0.07820000000000001</v>
      </c>
      <c r="S2555">
        <f>IMAGE("https://mitra.stanford.edu/kundaje/oak/projects/neuro-variants/variant_position/credible/roussos_2024/variant_figures/roussos_2024.adolescence.Astrocyte/rs3804582_count_position.png",4,220,900)</f>
        <v/>
      </c>
      <c r="T2555">
        <f>IMAGE("https://mitra.stanford.edu/kundaje/oak/projects/neuro-variants/variant_position/credible/roussos_2024/variant_figures/roussos_2024.adolescence.Astrocyte/rs3804582_profile_position.png",4,220,900)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0.0339632086</v>
      </c>
      <c r="G2556" t="n">
        <v>0.3611146369438979</v>
      </c>
      <c r="H2556" t="n">
        <v>0.0102521352535812</v>
      </c>
      <c r="I2556" t="n">
        <v>0.7255760332947643</v>
      </c>
      <c r="J2556" t="n">
        <v>0.06714684152746039</v>
      </c>
      <c r="K2556" t="n">
        <v>0.3946909843892862</v>
      </c>
      <c r="L2556" t="b">
        <v>0</v>
      </c>
      <c r="M2556" t="b">
        <v>0</v>
      </c>
      <c r="N2556" t="inlineStr">
        <is>
          <t>alt</t>
        </is>
      </c>
      <c r="O2556" t="n">
        <v>80</v>
      </c>
      <c r="P2556" t="n">
        <v>0.00281</v>
      </c>
      <c r="Q2556" t="n">
        <v>30</v>
      </c>
      <c r="R2556" t="n">
        <v>0.06</v>
      </c>
      <c r="S2556">
        <f>IMAGE("https://mitra.stanford.edu/kundaje/oak/projects/neuro-variants/variant_position/credible/roussos_2024/variant_figures/roussos_2024.adolescence.Astrocyte/rs17635268_count_position.png",4,220,900)</f>
        <v/>
      </c>
      <c r="T2556">
        <f>IMAGE("https://mitra.stanford.edu/kundaje/oak/projects/neuro-variants/variant_position/credible/roussos_2024/variant_figures/roussos_2024.adolescence.Astrocyte/rs17635268_profile_position.png",4,220,900)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-0.043074038</v>
      </c>
      <c r="G2557" t="n">
        <v>0.286251733820153</v>
      </c>
      <c r="H2557" t="n">
        <v>0.0117467729370038</v>
      </c>
      <c r="I2557" t="n">
        <v>0.5810503040078229</v>
      </c>
      <c r="J2557" t="n">
        <v>0.0160697860724564</v>
      </c>
      <c r="K2557" t="n">
        <v>0.605241932261111</v>
      </c>
      <c r="L2557" t="b">
        <v>0</v>
      </c>
      <c r="M2557" t="b">
        <v>0</v>
      </c>
      <c r="N2557" t="inlineStr">
        <is>
          <t>ref</t>
        </is>
      </c>
      <c r="O2557" t="n">
        <v>95</v>
      </c>
      <c r="P2557" t="n">
        <v>0.008070000000000001</v>
      </c>
      <c r="Q2557" t="n">
        <v>-50</v>
      </c>
      <c r="R2557" t="n">
        <v>0.03476</v>
      </c>
      <c r="S2557">
        <f>IMAGE("https://mitra.stanford.edu/kundaje/oak/projects/neuro-variants/variant_position/credible/roussos_2024/variant_figures/roussos_2024.adolescence.Astrocyte/rs2215709_count_position.png",4,220,900)</f>
        <v/>
      </c>
      <c r="T2557">
        <f>IMAGE("https://mitra.stanford.edu/kundaje/oak/projects/neuro-variants/variant_position/credible/roussos_2024/variant_figures/roussos_2024.adolescence.Astrocyte/rs2215709_profile_position.png",4,220,900)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-0.0602874072</v>
      </c>
      <c r="G2558" t="n">
        <v>0.1816260697132347</v>
      </c>
      <c r="H2558" t="n">
        <v>0.0132274538635943</v>
      </c>
      <c r="I2558" t="n">
        <v>0.4452097673232704</v>
      </c>
      <c r="J2558" t="n">
        <v>0.0028929175444322</v>
      </c>
      <c r="K2558" t="n">
        <v>0.787805588231309</v>
      </c>
      <c r="L2558" t="b">
        <v>0</v>
      </c>
      <c r="M2558" t="b">
        <v>0</v>
      </c>
      <c r="N2558" t="inlineStr">
        <is>
          <t>ref</t>
        </is>
      </c>
      <c r="O2558" t="n">
        <v>-20</v>
      </c>
      <c r="P2558" t="n">
        <v>0.001511</v>
      </c>
      <c r="Q2558" t="n">
        <v>-45</v>
      </c>
      <c r="R2558" t="n">
        <v>0.0263</v>
      </c>
      <c r="S2558">
        <f>IMAGE("https://mitra.stanford.edu/kundaje/oak/projects/neuro-variants/variant_position/credible/roussos_2024/variant_figures/roussos_2024.adolescence.Astrocyte/rs17635696_count_position.png",4,220,900)</f>
        <v/>
      </c>
      <c r="T2558">
        <f>IMAGE("https://mitra.stanford.edu/kundaje/oak/projects/neuro-variants/variant_position/credible/roussos_2024/variant_figures/roussos_2024.adolescence.Astrocyte/rs17635696_profile_position.png",4,220,900)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-0.207736025</v>
      </c>
      <c r="G2559" t="n">
        <v>0.0174884581588366</v>
      </c>
      <c r="H2559" t="n">
        <v>0.0312604073071692</v>
      </c>
      <c r="I2559" t="n">
        <v>0.0269176048287497</v>
      </c>
      <c r="J2559" t="n">
        <v>0.1072931193068865</v>
      </c>
      <c r="K2559" t="n">
        <v>0.3178243204074601</v>
      </c>
      <c r="L2559" t="b">
        <v>1</v>
      </c>
      <c r="M2559" t="b">
        <v>0</v>
      </c>
      <c r="N2559" t="inlineStr">
        <is>
          <t>ref</t>
        </is>
      </c>
      <c r="O2559" t="n">
        <v>-100</v>
      </c>
      <c r="P2559" t="n">
        <v>0.04416</v>
      </c>
      <c r="Q2559" t="n">
        <v>-100</v>
      </c>
      <c r="R2559" t="n">
        <v>0.299</v>
      </c>
      <c r="S2559">
        <f>IMAGE("https://mitra.stanford.edu/kundaje/oak/projects/neuro-variants/variant_position/credible/roussos_2024/variant_figures/roussos_2024.adolescence.Astrocyte/rs6771546_count_position.png",4,220,900)</f>
        <v/>
      </c>
      <c r="T2559">
        <f>IMAGE("https://mitra.stanford.edu/kundaje/oak/projects/neuro-variants/variant_position/credible/roussos_2024/variant_figures/roussos_2024.adolescence.Astrocyte/rs6771546_profile_position.png",4,220,900)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-0.0137205401759999</v>
      </c>
      <c r="G2560" t="n">
        <v>0.5595347818344567</v>
      </c>
      <c r="H2560" t="n">
        <v>0.0130279330829513</v>
      </c>
      <c r="I2560" t="n">
        <v>0.4671818955573771</v>
      </c>
      <c r="J2560" t="n">
        <v>0.0662849004539655</v>
      </c>
      <c r="K2560" t="n">
        <v>0.4043932135453148</v>
      </c>
      <c r="L2560" t="b">
        <v>0</v>
      </c>
      <c r="M2560" t="b">
        <v>0</v>
      </c>
      <c r="N2560" t="inlineStr">
        <is>
          <t>ref</t>
        </is>
      </c>
      <c r="O2560" t="n">
        <v>-85</v>
      </c>
      <c r="P2560" t="n">
        <v>0.0029</v>
      </c>
      <c r="Q2560" t="n">
        <v>80</v>
      </c>
      <c r="R2560" t="n">
        <v>0.177</v>
      </c>
      <c r="S2560">
        <f>IMAGE("https://mitra.stanford.edu/kundaje/oak/projects/neuro-variants/variant_position/credible/roussos_2024/variant_figures/roussos_2024.adolescence.Astrocyte/rs7609971_count_position.png",4,220,900)</f>
        <v/>
      </c>
      <c r="T2560">
        <f>IMAGE("https://mitra.stanford.edu/kundaje/oak/projects/neuro-variants/variant_position/credible/roussos_2024/variant_figures/roussos_2024.adolescence.Astrocyte/rs7609971_profile_position.png",4,220,900)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-0.0701798441999999</v>
      </c>
      <c r="G2561" t="n">
        <v>0.1582740644507679</v>
      </c>
      <c r="H2561" t="n">
        <v>0.0124970663422605</v>
      </c>
      <c r="I2561" t="n">
        <v>0.5050026173244602</v>
      </c>
      <c r="J2561" t="n">
        <v>0.0208675785538378</v>
      </c>
      <c r="K2561" t="n">
        <v>0.5688631849607109</v>
      </c>
      <c r="L2561" t="b">
        <v>0</v>
      </c>
      <c r="M2561" t="b">
        <v>0</v>
      </c>
      <c r="N2561" t="inlineStr">
        <is>
          <t>ref</t>
        </is>
      </c>
      <c r="O2561" t="n">
        <v>-90</v>
      </c>
      <c r="P2561" t="n">
        <v>0.1337</v>
      </c>
      <c r="Q2561" t="n">
        <v>-100</v>
      </c>
      <c r="R2561" t="n">
        <v>0.11646</v>
      </c>
      <c r="S2561">
        <f>IMAGE("https://mitra.stanford.edu/kundaje/oak/projects/neuro-variants/variant_position/credible/roussos_2024/variant_figures/roussos_2024.adolescence.Astrocyte/rs58621288_count_position.png",4,220,900)</f>
        <v/>
      </c>
      <c r="T2561">
        <f>IMAGE("https://mitra.stanford.edu/kundaje/oak/projects/neuro-variants/variant_position/credible/roussos_2024/variant_figures/roussos_2024.adolescence.Astrocyte/rs58621288_profile_position.png",4,220,900)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0.0116277470912</v>
      </c>
      <c r="G2562" t="n">
        <v>0.6219265050938313</v>
      </c>
      <c r="H2562" t="n">
        <v>0.0139674223214689</v>
      </c>
      <c r="I2562" t="n">
        <v>0.3942292113286265</v>
      </c>
      <c r="J2562" t="n">
        <v>0.0124091327181555</v>
      </c>
      <c r="K2562" t="n">
        <v>0.6552394246811127</v>
      </c>
      <c r="L2562" t="b">
        <v>0</v>
      </c>
      <c r="M2562" t="b">
        <v>0</v>
      </c>
      <c r="N2562" t="inlineStr">
        <is>
          <t>alt</t>
        </is>
      </c>
      <c r="O2562" t="n">
        <v>90</v>
      </c>
      <c r="P2562" t="n">
        <v>0.01772</v>
      </c>
      <c r="Q2562" t="n">
        <v>90</v>
      </c>
      <c r="R2562" t="n">
        <v>0.1635</v>
      </c>
      <c r="S2562">
        <f>IMAGE("https://mitra.stanford.edu/kundaje/oak/projects/neuro-variants/variant_position/credible/roussos_2024/variant_figures/roussos_2024.adolescence.Astrocyte/rs2624821_count_position.png",4,220,900)</f>
        <v/>
      </c>
      <c r="T2562">
        <f>IMAGE("https://mitra.stanford.edu/kundaje/oak/projects/neuro-variants/variant_position/credible/roussos_2024/variant_figures/roussos_2024.adolescence.Astrocyte/rs2624821_profile_position.png",4,220,900)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-0.0016206733599999</v>
      </c>
      <c r="G2563" t="n">
        <v>0.6827260510662266</v>
      </c>
      <c r="H2563" t="n">
        <v>0.0099084275651762</v>
      </c>
      <c r="I2563" t="n">
        <v>0.7184016358093118</v>
      </c>
      <c r="J2563" t="n">
        <v>0.0236870604990653</v>
      </c>
      <c r="K2563" t="n">
        <v>0.5526974212399707</v>
      </c>
      <c r="L2563" t="b">
        <v>0</v>
      </c>
      <c r="M2563" t="b">
        <v>0</v>
      </c>
      <c r="N2563" t="inlineStr">
        <is>
          <t>ref</t>
        </is>
      </c>
      <c r="O2563" t="n">
        <v>-100</v>
      </c>
      <c r="P2563" t="n">
        <v>0.0324</v>
      </c>
      <c r="Q2563" t="n">
        <v>-95</v>
      </c>
      <c r="R2563" t="n">
        <v>0.07335999999999999</v>
      </c>
      <c r="S2563">
        <f>IMAGE("https://mitra.stanford.edu/kundaje/oak/projects/neuro-variants/variant_position/credible/roussos_2024/variant_figures/roussos_2024.adolescence.Astrocyte/rs62262138_count_position.png",4,220,900)</f>
        <v/>
      </c>
      <c r="T2563">
        <f>IMAGE("https://mitra.stanford.edu/kundaje/oak/projects/neuro-variants/variant_position/credible/roussos_2024/variant_figures/roussos_2024.adolescence.Astrocyte/rs62262138_profile_position.png",4,220,900)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-0.0573610292</v>
      </c>
      <c r="G2564" t="n">
        <v>0.2076214857818225</v>
      </c>
      <c r="H2564" t="n">
        <v>0.0148955676130059</v>
      </c>
      <c r="I2564" t="n">
        <v>0.3314876414419727</v>
      </c>
      <c r="J2564" t="n">
        <v>0.0155446102720825</v>
      </c>
      <c r="K2564" t="n">
        <v>0.6143414476077999</v>
      </c>
      <c r="L2564" t="b">
        <v>0</v>
      </c>
      <c r="M2564" t="b">
        <v>0</v>
      </c>
      <c r="N2564" t="inlineStr">
        <is>
          <t>ref</t>
        </is>
      </c>
      <c r="O2564" t="n">
        <v>85</v>
      </c>
      <c r="P2564" t="n">
        <v>0.01497</v>
      </c>
      <c r="Q2564" t="n">
        <v>90</v>
      </c>
      <c r="R2564" t="n">
        <v>0.1012</v>
      </c>
      <c r="S2564">
        <f>IMAGE("https://mitra.stanford.edu/kundaje/oak/projects/neuro-variants/variant_position/credible/roussos_2024/variant_figures/roussos_2024.adolescence.Astrocyte/rs199956414_count_position.png",4,220,900)</f>
        <v/>
      </c>
      <c r="T2564">
        <f>IMAGE("https://mitra.stanford.edu/kundaje/oak/projects/neuro-variants/variant_position/credible/roussos_2024/variant_figures/roussos_2024.adolescence.Astrocyte/rs199956414_profile_position.png",4,220,900)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-0.036499108</v>
      </c>
      <c r="G2565" t="n">
        <v>0.3474601982806225</v>
      </c>
      <c r="H2565" t="n">
        <v>0.0102424830308832</v>
      </c>
      <c r="I2565" t="n">
        <v>0.7340161060069541</v>
      </c>
      <c r="J2565" t="n">
        <v>0.0173983028217072</v>
      </c>
      <c r="K2565" t="n">
        <v>0.599349697379209</v>
      </c>
      <c r="L2565" t="b">
        <v>0</v>
      </c>
      <c r="M2565" t="b">
        <v>0</v>
      </c>
      <c r="N2565" t="inlineStr">
        <is>
          <t>ref</t>
        </is>
      </c>
      <c r="O2565" t="n">
        <v>-30</v>
      </c>
      <c r="P2565" t="n">
        <v>0.00537</v>
      </c>
      <c r="Q2565" t="n">
        <v>-100</v>
      </c>
      <c r="R2565" t="n">
        <v>0.09314</v>
      </c>
      <c r="S2565">
        <f>IMAGE("https://mitra.stanford.edu/kundaje/oak/projects/neuro-variants/variant_position/credible/roussos_2024/variant_figures/roussos_2024.adolescence.Astrocyte/rs4688690_count_position.png",4,220,900)</f>
        <v/>
      </c>
      <c r="T2565">
        <f>IMAGE("https://mitra.stanford.edu/kundaje/oak/projects/neuro-variants/variant_position/credible/roussos_2024/variant_figures/roussos_2024.adolescence.Astrocyte/rs4688690_profile_position.png",4,220,900)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-0.0235308544</v>
      </c>
      <c r="G2566" t="n">
        <v>0.4958953482055629</v>
      </c>
      <c r="H2566" t="n">
        <v>0.0714252043675143</v>
      </c>
      <c r="I2566" t="n">
        <v>0.0010522915476312</v>
      </c>
      <c r="J2566" t="n">
        <v>0.0080526956057323</v>
      </c>
      <c r="K2566" t="n">
        <v>0.704174853431342</v>
      </c>
      <c r="L2566" t="b">
        <v>0</v>
      </c>
      <c r="M2566" t="b">
        <v>0</v>
      </c>
      <c r="N2566" t="inlineStr">
        <is>
          <t>ref</t>
        </is>
      </c>
      <c r="O2566" t="n">
        <v>-70</v>
      </c>
      <c r="P2566" t="n">
        <v>0.01233</v>
      </c>
      <c r="Q2566" t="n">
        <v>90</v>
      </c>
      <c r="R2566" t="n">
        <v>0.187</v>
      </c>
      <c r="S2566">
        <f>IMAGE("https://mitra.stanford.edu/kundaje/oak/projects/neuro-variants/variant_position/credible/roussos_2024/variant_figures/roussos_2024.adolescence.Astrocyte/rs111439884_count_position.png",4,220,900)</f>
        <v/>
      </c>
      <c r="T2566">
        <f>IMAGE("https://mitra.stanford.edu/kundaje/oak/projects/neuro-variants/variant_position/credible/roussos_2024/variant_figures/roussos_2024.adolescence.Astrocyte/rs111439884_profile_position.png",4,220,900)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0.046923909</v>
      </c>
      <c r="G2567" t="n">
        <v>0.2784449934539431</v>
      </c>
      <c r="H2567" t="n">
        <v>0.0204398248999938</v>
      </c>
      <c r="I2567" t="n">
        <v>0.1313865140885868</v>
      </c>
      <c r="J2567" t="n">
        <v>0.0011252707474111</v>
      </c>
      <c r="K2567" t="n">
        <v>0.873869667874684</v>
      </c>
      <c r="L2567" t="b">
        <v>0</v>
      </c>
      <c r="M2567" t="b">
        <v>0</v>
      </c>
      <c r="N2567" t="inlineStr">
        <is>
          <t>alt</t>
        </is>
      </c>
      <c r="O2567" t="n">
        <v>-30</v>
      </c>
      <c r="P2567" t="n">
        <v>0.02635</v>
      </c>
      <c r="Q2567" t="n">
        <v>-35</v>
      </c>
      <c r="R2567" t="n">
        <v>0.11646</v>
      </c>
      <c r="S2567">
        <f>IMAGE("https://mitra.stanford.edu/kundaje/oak/projects/neuro-variants/variant_position/credible/roussos_2024/variant_figures/roussos_2024.adolescence.Astrocyte/rs34080578_count_position.png",4,220,900)</f>
        <v/>
      </c>
      <c r="T2567">
        <f>IMAGE("https://mitra.stanford.edu/kundaje/oak/projects/neuro-variants/variant_position/credible/roussos_2024/variant_figures/roussos_2024.adolescence.Astrocyte/rs34080578_profile_position.png",4,220,900)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-0.0594945864</v>
      </c>
      <c r="G2568" t="n">
        <v>0.1846933480327791</v>
      </c>
      <c r="H2568" t="n">
        <v>0.0100904640592099</v>
      </c>
      <c r="I2568" t="n">
        <v>0.7492945401004545</v>
      </c>
      <c r="J2568" t="n">
        <v>0.0015465982256772</v>
      </c>
      <c r="K2568" t="n">
        <v>0.8511331237650195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0.02103</v>
      </c>
      <c r="Q2568" t="n">
        <v>-90</v>
      </c>
      <c r="R2568" t="n">
        <v>0.081</v>
      </c>
      <c r="S2568">
        <f>IMAGE("https://mitra.stanford.edu/kundaje/oak/projects/neuro-variants/variant_position/credible/roussos_2024/variant_figures/roussos_2024.adolescence.Astrocyte/rs2353579_count_position.png",4,220,900)</f>
        <v/>
      </c>
      <c r="T2568">
        <f>IMAGE("https://mitra.stanford.edu/kundaje/oak/projects/neuro-variants/variant_position/credible/roussos_2024/variant_figures/roussos_2024.adolescence.Astrocyte/rs2353579_profile_position.png",4,220,900)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0.1046048012</v>
      </c>
      <c r="G2569" t="n">
        <v>0.0755754232274419</v>
      </c>
      <c r="H2569" t="n">
        <v>0.0231742782055094</v>
      </c>
      <c r="I2569" t="n">
        <v>0.0845174986029554</v>
      </c>
      <c r="J2569" t="n">
        <v>0.0159548111444084</v>
      </c>
      <c r="K2569" t="n">
        <v>0.6203880313008978</v>
      </c>
      <c r="L2569" t="b">
        <v>0</v>
      </c>
      <c r="M2569" t="b">
        <v>0</v>
      </c>
      <c r="N2569" t="inlineStr">
        <is>
          <t>alt</t>
        </is>
      </c>
      <c r="O2569" t="n">
        <v>55</v>
      </c>
      <c r="P2569" t="n">
        <v>0.002645</v>
      </c>
      <c r="Q2569" t="n">
        <v>60</v>
      </c>
      <c r="R2569" t="n">
        <v>0.08939999999999999</v>
      </c>
      <c r="S2569">
        <f>IMAGE("https://mitra.stanford.edu/kundaje/oak/projects/neuro-variants/variant_position/credible/roussos_2024/variant_figures/roussos_2024.adolescence.Astrocyte/rs4688757_count_position.png",4,220,900)</f>
        <v/>
      </c>
      <c r="T2569">
        <f>IMAGE("https://mitra.stanford.edu/kundaje/oak/projects/neuro-variants/variant_position/credible/roussos_2024/variant_figures/roussos_2024.adolescence.Astrocyte/rs4688757_profile_position.png",4,220,900)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0.0209573685999999</v>
      </c>
      <c r="G2570" t="n">
        <v>0.4860859520007136</v>
      </c>
      <c r="H2570" t="n">
        <v>0.0126057133012649</v>
      </c>
      <c r="I2570" t="n">
        <v>0.5000266705889442</v>
      </c>
      <c r="J2570" t="n">
        <v>0.3201250630507669</v>
      </c>
      <c r="K2570" t="n">
        <v>0.1235667145540455</v>
      </c>
      <c r="L2570" t="b">
        <v>0</v>
      </c>
      <c r="M2570" t="b">
        <v>0</v>
      </c>
      <c r="N2570" t="inlineStr">
        <is>
          <t>alt</t>
        </is>
      </c>
      <c r="O2570" t="n">
        <v>-90</v>
      </c>
      <c r="P2570" t="n">
        <v>0.00406</v>
      </c>
      <c r="Q2570" t="n">
        <v>100</v>
      </c>
      <c r="R2570" t="n">
        <v>0.3945</v>
      </c>
      <c r="S2570">
        <f>IMAGE("https://mitra.stanford.edu/kundaje/oak/projects/neuro-variants/variant_position/credible/roussos_2024/variant_figures/roussos_2024.adolescence.Astrocyte/rs6765484_count_position.png",4,220,900)</f>
        <v/>
      </c>
      <c r="T2570">
        <f>IMAGE("https://mitra.stanford.edu/kundaje/oak/projects/neuro-variants/variant_position/credible/roussos_2024/variant_figures/roussos_2024.adolescence.Astrocyte/rs6765484_profile_position.png",4,220,900)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0.0055365031</v>
      </c>
      <c r="G2571" t="n">
        <v>0.6642380391863227</v>
      </c>
      <c r="H2571" t="n">
        <v>0.0259579596159522</v>
      </c>
      <c r="I2571" t="n">
        <v>0.0547175513656801</v>
      </c>
      <c r="J2571" t="n">
        <v>0.009409399756698101</v>
      </c>
      <c r="K2571" t="n">
        <v>0.6743906033846471</v>
      </c>
      <c r="L2571" t="b">
        <v>0</v>
      </c>
      <c r="M2571" t="b">
        <v>0</v>
      </c>
      <c r="N2571" t="inlineStr">
        <is>
          <t>alt</t>
        </is>
      </c>
      <c r="O2571" t="n">
        <v>-95</v>
      </c>
      <c r="P2571" t="n">
        <v>0.01166</v>
      </c>
      <c r="Q2571" t="n">
        <v>-45</v>
      </c>
      <c r="R2571" t="n">
        <v>0.09106</v>
      </c>
      <c r="S2571">
        <f>IMAGE("https://mitra.stanford.edu/kundaje/oak/projects/neuro-variants/variant_position/credible/roussos_2024/variant_figures/roussos_2024.adolescence.Astrocyte/rs7634917_count_position.png",4,220,900)</f>
        <v/>
      </c>
      <c r="T2571">
        <f>IMAGE("https://mitra.stanford.edu/kundaje/oak/projects/neuro-variants/variant_position/credible/roussos_2024/variant_figures/roussos_2024.adolescence.Astrocyte/rs7634917_profile_position.png",4,220,900)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-0.15350323</v>
      </c>
      <c r="G2572" t="n">
        <v>0.0343703831744521</v>
      </c>
      <c r="H2572" t="n">
        <v>0.0670893278205814</v>
      </c>
      <c r="I2572" t="n">
        <v>0.0013119058772809</v>
      </c>
      <c r="J2572" t="n">
        <v>0.0229808919087321</v>
      </c>
      <c r="K2572" t="n">
        <v>0.5759515702014583</v>
      </c>
      <c r="L2572" t="b">
        <v>1</v>
      </c>
      <c r="M2572" t="b">
        <v>0</v>
      </c>
      <c r="N2572" t="inlineStr">
        <is>
          <t>ref</t>
        </is>
      </c>
      <c r="O2572" t="n">
        <v>-50</v>
      </c>
      <c r="P2572" t="n">
        <v>0.007202</v>
      </c>
      <c r="Q2572" t="n">
        <v>-55</v>
      </c>
      <c r="R2572" t="n">
        <v>0.05225</v>
      </c>
      <c r="S2572">
        <f>IMAGE("https://mitra.stanford.edu/kundaje/oak/projects/neuro-variants/variant_position/credible/roussos_2024/variant_figures/roussos_2024.adolescence.Astrocyte/rs75729494_count_position.png",4,220,900)</f>
        <v/>
      </c>
      <c r="T2572">
        <f>IMAGE("https://mitra.stanford.edu/kundaje/oak/projects/neuro-variants/variant_position/credible/roussos_2024/variant_figures/roussos_2024.adolescence.Astrocyte/rs75729494_profile_position.png",4,220,900)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-0.0209693978</v>
      </c>
      <c r="G2573" t="n">
        <v>0.5487017099235675</v>
      </c>
      <c r="H2573" t="n">
        <v>0.0258205520258482</v>
      </c>
      <c r="I2573" t="n">
        <v>0.0563481199721674</v>
      </c>
      <c r="J2573" t="n">
        <v>0.0168071091594219</v>
      </c>
      <c r="K2573" t="n">
        <v>0.5970783969751533</v>
      </c>
      <c r="L2573" t="b">
        <v>0</v>
      </c>
      <c r="M2573" t="b">
        <v>0</v>
      </c>
      <c r="N2573" t="inlineStr">
        <is>
          <t>ref</t>
        </is>
      </c>
      <c r="O2573" t="n">
        <v>-100</v>
      </c>
      <c r="P2573" t="n">
        <v>0.01102</v>
      </c>
      <c r="Q2573" t="n">
        <v>-50</v>
      </c>
      <c r="R2573" t="n">
        <v>0.05542</v>
      </c>
      <c r="S2573">
        <f>IMAGE("https://mitra.stanford.edu/kundaje/oak/projects/neuro-variants/variant_position/credible/roussos_2024/variant_figures/roussos_2024.adolescence.Astrocyte/rs6446193_count_position.png",4,220,900)</f>
        <v/>
      </c>
      <c r="T2573">
        <f>IMAGE("https://mitra.stanford.edu/kundaje/oak/projects/neuro-variants/variant_position/credible/roussos_2024/variant_figures/roussos_2024.adolescence.Astrocyte/rs6446193_profile_position.png",4,220,900)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-0.0405457965999999</v>
      </c>
      <c r="G2574" t="n">
        <v>0.3089584529821234</v>
      </c>
      <c r="H2574" t="n">
        <v>0.01440088806224</v>
      </c>
      <c r="I2574" t="n">
        <v>0.3647969188386458</v>
      </c>
      <c r="J2574" t="n">
        <v>0.0003582767112719</v>
      </c>
      <c r="K2574" t="n">
        <v>0.9294431853409808</v>
      </c>
      <c r="L2574" t="b">
        <v>0</v>
      </c>
      <c r="M2574" t="b">
        <v>0</v>
      </c>
      <c r="N2574" t="inlineStr">
        <is>
          <t>ref</t>
        </is>
      </c>
      <c r="O2574" t="n">
        <v>-60</v>
      </c>
      <c r="P2574" t="n">
        <v>0.00264</v>
      </c>
      <c r="Q2574" t="n">
        <v>85</v>
      </c>
      <c r="R2574" t="n">
        <v>0.1388</v>
      </c>
      <c r="S2574">
        <f>IMAGE("https://mitra.stanford.edu/kundaje/oak/projects/neuro-variants/variant_position/credible/roussos_2024/variant_figures/roussos_2024.adolescence.Astrocyte/rs11130240_count_position.png",4,220,900)</f>
        <v/>
      </c>
      <c r="T2574">
        <f>IMAGE("https://mitra.stanford.edu/kundaje/oak/projects/neuro-variants/variant_position/credible/roussos_2024/variant_figures/roussos_2024.adolescence.Astrocyte/rs11130240_profile_position.png",4,220,900)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-0.0397524288</v>
      </c>
      <c r="G2575" t="n">
        <v>0.312684808682812</v>
      </c>
      <c r="H2575" t="n">
        <v>0.009957571823670699</v>
      </c>
      <c r="I2575" t="n">
        <v>0.7668259038763765</v>
      </c>
      <c r="J2575" t="n">
        <v>0.0007046850428744</v>
      </c>
      <c r="K2575" t="n">
        <v>0.8957470716921735</v>
      </c>
      <c r="L2575" t="b">
        <v>0</v>
      </c>
      <c r="M2575" t="b">
        <v>0</v>
      </c>
      <c r="N2575" t="inlineStr">
        <is>
          <t>ref</t>
        </is>
      </c>
      <c r="O2575" t="n">
        <v>-90</v>
      </c>
      <c r="P2575" t="n">
        <v>0.02637</v>
      </c>
      <c r="Q2575" t="n">
        <v>60</v>
      </c>
      <c r="R2575" t="n">
        <v>0.11096</v>
      </c>
      <c r="S2575">
        <f>IMAGE("https://mitra.stanford.edu/kundaje/oak/projects/neuro-variants/variant_position/credible/roussos_2024/variant_figures/roussos_2024.adolescence.Astrocyte/rs9866695_count_position.png",4,220,900)</f>
        <v/>
      </c>
      <c r="T2575">
        <f>IMAGE("https://mitra.stanford.edu/kundaje/oak/projects/neuro-variants/variant_position/credible/roussos_2024/variant_figures/roussos_2024.adolescence.Astrocyte/rs9866695_profile_position.png",4,220,900)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-0.1026996952</v>
      </c>
      <c r="G2576" t="n">
        <v>0.0899858595276072</v>
      </c>
      <c r="H2576" t="n">
        <v>0.037019909578945</v>
      </c>
      <c r="I2576" t="n">
        <v>0.0132730111486003</v>
      </c>
      <c r="J2576" t="n">
        <v>0.0049483725484377</v>
      </c>
      <c r="K2576" t="n">
        <v>0.7398399717095238</v>
      </c>
      <c r="L2576" t="b">
        <v>0</v>
      </c>
      <c r="M2576" t="b">
        <v>0</v>
      </c>
      <c r="N2576" t="inlineStr">
        <is>
          <t>ref</t>
        </is>
      </c>
      <c r="O2576" t="n">
        <v>75</v>
      </c>
      <c r="P2576" t="n">
        <v>0.00557</v>
      </c>
      <c r="Q2576" t="n">
        <v>-85</v>
      </c>
      <c r="R2576" t="n">
        <v>0.07776</v>
      </c>
      <c r="S2576">
        <f>IMAGE("https://mitra.stanford.edu/kundaje/oak/projects/neuro-variants/variant_position/credible/roussos_2024/variant_figures/roussos_2024.adolescence.Astrocyte/rs12486470_count_position.png",4,220,900)</f>
        <v/>
      </c>
      <c r="T2576">
        <f>IMAGE("https://mitra.stanford.edu/kundaje/oak/projects/neuro-variants/variant_position/credible/roussos_2024/variant_figures/roussos_2024.adolescence.Astrocyte/rs12486470_profile_position.png",4,220,900)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0.1180838628</v>
      </c>
      <c r="G2577" t="n">
        <v>0.0617800229160416</v>
      </c>
      <c r="H2577" t="n">
        <v>0.0175003015097547</v>
      </c>
      <c r="I2577" t="n">
        <v>0.2188201019159979</v>
      </c>
      <c r="J2577" t="n">
        <v>0.0039818413791056</v>
      </c>
      <c r="K2577" t="n">
        <v>0.7716086671938382</v>
      </c>
      <c r="L2577" t="b">
        <v>0</v>
      </c>
      <c r="M2577" t="b">
        <v>0</v>
      </c>
      <c r="N2577" t="inlineStr">
        <is>
          <t>alt</t>
        </is>
      </c>
      <c r="O2577" t="n">
        <v>-100</v>
      </c>
      <c r="P2577" t="n">
        <v>0.1288</v>
      </c>
      <c r="Q2577" t="n">
        <v>-90</v>
      </c>
      <c r="R2577" t="n">
        <v>0.04474</v>
      </c>
      <c r="S2577">
        <f>IMAGE("https://mitra.stanford.edu/kundaje/oak/projects/neuro-variants/variant_position/credible/roussos_2024/variant_figures/roussos_2024.adolescence.Astrocyte/rs62263590_count_position.png",4,220,900)</f>
        <v/>
      </c>
      <c r="T2577">
        <f>IMAGE("https://mitra.stanford.edu/kundaje/oak/projects/neuro-variants/variant_position/credible/roussos_2024/variant_figures/roussos_2024.adolescence.Astrocyte/rs62263590_profile_position.png",4,220,900)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0.0005624227999999</v>
      </c>
      <c r="G2578" t="n">
        <v>0.4934306678998205</v>
      </c>
      <c r="H2578" t="n">
        <v>0.0198149454467503</v>
      </c>
      <c r="I2578" t="n">
        <v>0.1418813784986236</v>
      </c>
      <c r="J2578" t="n">
        <v>0.0043312168056255</v>
      </c>
      <c r="K2578" t="n">
        <v>0.7548409665029717</v>
      </c>
      <c r="L2578" t="b">
        <v>0</v>
      </c>
      <c r="M2578" t="b">
        <v>0</v>
      </c>
      <c r="N2578" t="inlineStr">
        <is>
          <t>alt</t>
        </is>
      </c>
      <c r="O2578" t="n">
        <v>-60</v>
      </c>
      <c r="P2578" t="n">
        <v>0.0074</v>
      </c>
      <c r="Q2578" t="n">
        <v>95</v>
      </c>
      <c r="R2578" t="n">
        <v>0.08400000000000001</v>
      </c>
      <c r="S2578">
        <f>IMAGE("https://mitra.stanford.edu/kundaje/oak/projects/neuro-variants/variant_position/credible/roussos_2024/variant_figures/roussos_2024.adolescence.Astrocyte/rs3733133_count_position.png",4,220,900)</f>
        <v/>
      </c>
      <c r="T2578">
        <f>IMAGE("https://mitra.stanford.edu/kundaje/oak/projects/neuro-variants/variant_position/credible/roussos_2024/variant_figures/roussos_2024.adolescence.Astrocyte/rs3733133_profile_position.png",4,220,900)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-0.0227632204</v>
      </c>
      <c r="G2579" t="n">
        <v>0.5140507266104705</v>
      </c>
      <c r="H2579" t="n">
        <v>0.0112456948665297</v>
      </c>
      <c r="I2579" t="n">
        <v>0.625762000495605</v>
      </c>
      <c r="J2579" t="n">
        <v>0.4845777823932587</v>
      </c>
      <c r="K2579" t="n">
        <v>0.0610727938659544</v>
      </c>
      <c r="L2579" t="b">
        <v>0</v>
      </c>
      <c r="M2579" t="b">
        <v>0</v>
      </c>
      <c r="N2579" t="inlineStr">
        <is>
          <t>ref</t>
        </is>
      </c>
      <c r="O2579" t="n">
        <v>95</v>
      </c>
      <c r="P2579" t="n">
        <v>0.011475</v>
      </c>
      <c r="Q2579" t="n">
        <v>100</v>
      </c>
      <c r="R2579" t="n">
        <v>0.3445</v>
      </c>
      <c r="S2579">
        <f>IMAGE("https://mitra.stanford.edu/kundaje/oak/projects/neuro-variants/variant_position/credible/roussos_2024/variant_figures/roussos_2024.adolescence.Astrocyte/rs2624847_count_position.png",4,220,900)</f>
        <v/>
      </c>
      <c r="T2579">
        <f>IMAGE("https://mitra.stanford.edu/kundaje/oak/projects/neuro-variants/variant_position/credible/roussos_2024/variant_figures/roussos_2024.adolescence.Astrocyte/rs2624847_profile_position.png",4,220,900)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0.0739493894</v>
      </c>
      <c r="G2580" t="n">
        <v>0.1874200468926346</v>
      </c>
      <c r="H2580" t="n">
        <v>0.0136426571717752</v>
      </c>
      <c r="I2580" t="n">
        <v>0.4190101392829306</v>
      </c>
      <c r="J2580" t="n">
        <v>0.5623023173011304</v>
      </c>
      <c r="K2580" t="n">
        <v>0.0414091331577417</v>
      </c>
      <c r="L2580" t="b">
        <v>0</v>
      </c>
      <c r="M2580" t="b">
        <v>0</v>
      </c>
      <c r="N2580" t="inlineStr">
        <is>
          <t>alt</t>
        </is>
      </c>
      <c r="O2580" t="n">
        <v>-100</v>
      </c>
      <c r="P2580" t="n">
        <v>0.01828</v>
      </c>
      <c r="Q2580" t="n">
        <v>-85</v>
      </c>
      <c r="R2580" t="n">
        <v>0.1416</v>
      </c>
      <c r="S2580">
        <f>IMAGE("https://mitra.stanford.edu/kundaje/oak/projects/neuro-variants/variant_position/credible/roussos_2024/variant_figures/roussos_2024.adolescence.Astrocyte/rs12054052_count_position.png",4,220,900)</f>
        <v/>
      </c>
      <c r="T2580">
        <f>IMAGE("https://mitra.stanford.edu/kundaje/oak/projects/neuro-variants/variant_position/credible/roussos_2024/variant_figures/roussos_2024.adolescence.Astrocyte/rs12054052_profile_position.png",4,220,900)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0.3770123019999999</v>
      </c>
      <c r="G2581" t="n">
        <v>0.0035863147214206</v>
      </c>
      <c r="H2581" t="n">
        <v>0.0308451708811909</v>
      </c>
      <c r="I2581" t="n">
        <v>0.0302133337131682</v>
      </c>
      <c r="J2581" t="n">
        <v>0.6359233599382845</v>
      </c>
      <c r="K2581" t="n">
        <v>0.027273220224486</v>
      </c>
      <c r="L2581" t="b">
        <v>1</v>
      </c>
      <c r="M2581" t="b">
        <v>1</v>
      </c>
      <c r="N2581" t="inlineStr">
        <is>
          <t>alt</t>
        </is>
      </c>
      <c r="O2581" t="n">
        <v>0</v>
      </c>
      <c r="P2581" t="n">
        <v>0</v>
      </c>
      <c r="Q2581" t="n">
        <v>-5</v>
      </c>
      <c r="R2581" t="n">
        <v>0.01172</v>
      </c>
      <c r="S2581">
        <f>IMAGE("https://mitra.stanford.edu/kundaje/oak/projects/neuro-variants/variant_position/credible/roussos_2024/variant_figures/roussos_2024.adolescence.Astrocyte/rs2624835_count_position.png",4,220,900)</f>
        <v/>
      </c>
      <c r="T2581">
        <f>IMAGE("https://mitra.stanford.edu/kundaje/oak/projects/neuro-variants/variant_position/credible/roussos_2024/variant_figures/roussos_2024.adolescence.Astrocyte/rs2624835_profile_position.png",4,220,900)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0.0462772004</v>
      </c>
      <c r="G2582" t="n">
        <v>0.1825948673887877</v>
      </c>
      <c r="H2582" t="n">
        <v>0.0164442955547931</v>
      </c>
      <c r="I2582" t="n">
        <v>0.252240923098347</v>
      </c>
      <c r="J2582" t="n">
        <v>0.1060513900839687</v>
      </c>
      <c r="K2582" t="n">
        <v>0.318521598700426</v>
      </c>
      <c r="L2582" t="b">
        <v>0</v>
      </c>
      <c r="M2582" t="b">
        <v>0</v>
      </c>
      <c r="N2582" t="inlineStr">
        <is>
          <t>alt</t>
        </is>
      </c>
      <c r="O2582" t="n">
        <v>-100</v>
      </c>
      <c r="P2582" t="n">
        <v>0.007267</v>
      </c>
      <c r="Q2582" t="n">
        <v>40</v>
      </c>
      <c r="R2582" t="n">
        <v>0.1212</v>
      </c>
      <c r="S2582">
        <f>IMAGE("https://mitra.stanford.edu/kundaje/oak/projects/neuro-variants/variant_position/credible/roussos_2024/variant_figures/roussos_2024.adolescence.Astrocyte/rs3755831_count_position.png",4,220,900)</f>
        <v/>
      </c>
      <c r="T2582">
        <f>IMAGE("https://mitra.stanford.edu/kundaje/oak/projects/neuro-variants/variant_position/credible/roussos_2024/variant_figures/roussos_2024.adolescence.Astrocyte/rs3755831_profile_position.png",4,220,900)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-0.065287211</v>
      </c>
      <c r="G2583" t="n">
        <v>0.1349488595182207</v>
      </c>
      <c r="H2583" t="n">
        <v>0.014270796829601</v>
      </c>
      <c r="I2583" t="n">
        <v>0.3750865061217552</v>
      </c>
      <c r="J2583" t="n">
        <v>0.4508634246209536</v>
      </c>
      <c r="K2583" t="n">
        <v>0.070380152737578</v>
      </c>
      <c r="L2583" t="b">
        <v>0</v>
      </c>
      <c r="M2583" t="b">
        <v>0</v>
      </c>
      <c r="N2583" t="inlineStr">
        <is>
          <t>ref</t>
        </is>
      </c>
      <c r="O2583" t="n">
        <v>25</v>
      </c>
      <c r="P2583" t="n">
        <v>0.00322</v>
      </c>
      <c r="Q2583" t="n">
        <v>20</v>
      </c>
      <c r="R2583" t="n">
        <v>0.05127</v>
      </c>
      <c r="S2583">
        <f>IMAGE("https://mitra.stanford.edu/kundaje/oak/projects/neuro-variants/variant_position/credible/roussos_2024/variant_figures/roussos_2024.adolescence.Astrocyte/rs4688683_count_position.png",4,220,900)</f>
        <v/>
      </c>
      <c r="T2583">
        <f>IMAGE("https://mitra.stanford.edu/kundaje/oak/projects/neuro-variants/variant_position/credible/roussos_2024/variant_figures/roussos_2024.adolescence.Astrocyte/rs4688683_profile_position.png",4,220,900)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0.0324628383999999</v>
      </c>
      <c r="G2584" t="n">
        <v>0.3759170990247114</v>
      </c>
      <c r="H2584" t="n">
        <v>0.0220601966261921</v>
      </c>
      <c r="I2584" t="n">
        <v>0.0982060461783469</v>
      </c>
      <c r="J2584" t="n">
        <v>0.8667084532534197</v>
      </c>
      <c r="K2584" t="n">
        <v>0.0034009647909842</v>
      </c>
      <c r="L2584" t="b">
        <v>0</v>
      </c>
      <c r="M2584" t="b">
        <v>0</v>
      </c>
      <c r="N2584" t="inlineStr">
        <is>
          <t>alt</t>
        </is>
      </c>
      <c r="O2584" t="n">
        <v>100</v>
      </c>
      <c r="P2584" t="n">
        <v>0.01178</v>
      </c>
      <c r="Q2584" t="n">
        <v>5</v>
      </c>
      <c r="R2584" t="n">
        <v>0.01416</v>
      </c>
      <c r="S2584">
        <f>IMAGE("https://mitra.stanford.edu/kundaje/oak/projects/neuro-variants/variant_position/credible/roussos_2024/variant_figures/roussos_2024.adolescence.Astrocyte/rs2236939_count_position.png",4,220,900)</f>
        <v/>
      </c>
      <c r="T2584">
        <f>IMAGE("https://mitra.stanford.edu/kundaje/oak/projects/neuro-variants/variant_position/credible/roussos_2024/variant_figures/roussos_2024.adolescence.Astrocyte/rs2236939_profile_position.png",4,220,900)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-0.0537265858</v>
      </c>
      <c r="G2585" t="n">
        <v>0.2301547877822955</v>
      </c>
      <c r="H2585" t="n">
        <v>0.0091284067289591</v>
      </c>
      <c r="I2585" t="n">
        <v>0.8252345060543324</v>
      </c>
      <c r="J2585" t="n">
        <v>0.4238732457051301</v>
      </c>
      <c r="K2585" t="n">
        <v>0.07924056559550439</v>
      </c>
      <c r="L2585" t="b">
        <v>0</v>
      </c>
      <c r="M2585" t="b">
        <v>0</v>
      </c>
      <c r="N2585" t="inlineStr">
        <is>
          <t>ref</t>
        </is>
      </c>
      <c r="O2585" t="n">
        <v>5</v>
      </c>
      <c r="P2585" t="n">
        <v>0.002857</v>
      </c>
      <c r="Q2585" t="n">
        <v>-100</v>
      </c>
      <c r="R2585" t="n">
        <v>0.11597</v>
      </c>
      <c r="S2585">
        <f>IMAGE("https://mitra.stanford.edu/kundaje/oak/projects/neuro-variants/variant_position/credible/roussos_2024/variant_figures/roussos_2024.adolescence.Astrocyte/rs2236940_count_position.png",4,220,900)</f>
        <v/>
      </c>
      <c r="T2585">
        <f>IMAGE("https://mitra.stanford.edu/kundaje/oak/projects/neuro-variants/variant_position/credible/roussos_2024/variant_figures/roussos_2024.adolescence.Astrocyte/rs2236940_profile_position.png",4,220,900)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-0.004824127626</v>
      </c>
      <c r="G2586" t="n">
        <v>0.8694191498315947</v>
      </c>
      <c r="H2586" t="n">
        <v>0.0264656190617418</v>
      </c>
      <c r="I2586" t="n">
        <v>0.0512328454015783</v>
      </c>
      <c r="J2586" t="n">
        <v>0.6858024508204018</v>
      </c>
      <c r="K2586" t="n">
        <v>0.0203088981432625</v>
      </c>
      <c r="L2586" t="b">
        <v>0</v>
      </c>
      <c r="M2586" t="b">
        <v>0</v>
      </c>
      <c r="N2586" t="inlineStr">
        <is>
          <t>ref</t>
        </is>
      </c>
      <c r="O2586" t="n">
        <v>40</v>
      </c>
      <c r="P2586" t="n">
        <v>0.02324</v>
      </c>
      <c r="Q2586" t="n">
        <v>100</v>
      </c>
      <c r="R2586" t="n">
        <v>0.04614</v>
      </c>
      <c r="S2586">
        <f>IMAGE("https://mitra.stanford.edu/kundaje/oak/projects/neuro-variants/variant_position/credible/roussos_2024/variant_figures/roussos_2024.adolescence.Astrocyte/rs4688743_count_position.png",4,220,900)</f>
        <v/>
      </c>
      <c r="T2586">
        <f>IMAGE("https://mitra.stanford.edu/kundaje/oak/projects/neuro-variants/variant_position/credible/roussos_2024/variant_figures/roussos_2024.adolescence.Astrocyte/rs4688743_profile_position.png",4,220,900)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0.0505080334</v>
      </c>
      <c r="G2587" t="n">
        <v>0.2244407848321113</v>
      </c>
      <c r="H2587" t="n">
        <v>0.0121705437840245</v>
      </c>
      <c r="I2587" t="n">
        <v>0.5281937448449479</v>
      </c>
      <c r="J2587" t="n">
        <v>0.30430377117764</v>
      </c>
      <c r="K2587" t="n">
        <v>0.1333034087863458</v>
      </c>
      <c r="L2587" t="b">
        <v>0</v>
      </c>
      <c r="M2587" t="b">
        <v>0</v>
      </c>
      <c r="N2587" t="inlineStr">
        <is>
          <t>alt</t>
        </is>
      </c>
      <c r="O2587" t="n">
        <v>-95</v>
      </c>
      <c r="P2587" t="n">
        <v>0.007538</v>
      </c>
      <c r="Q2587" t="n">
        <v>100</v>
      </c>
      <c r="R2587" t="n">
        <v>0.07870000000000001</v>
      </c>
      <c r="S2587">
        <f>IMAGE("https://mitra.stanford.edu/kundaje/oak/projects/neuro-variants/variant_position/credible/roussos_2024/variant_figures/roussos_2024.adolescence.Astrocyte/rs6776145_count_position.png",4,220,900)</f>
        <v/>
      </c>
      <c r="T2587">
        <f>IMAGE("https://mitra.stanford.edu/kundaje/oak/projects/neuro-variants/variant_position/credible/roussos_2024/variant_figures/roussos_2024.adolescence.Astrocyte/rs6776145_profile_position.png",4,220,900)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0.16465635</v>
      </c>
      <c r="G2588" t="n">
        <v>0.0283309963316416</v>
      </c>
      <c r="H2588" t="n">
        <v>0.020090896153499</v>
      </c>
      <c r="I2588" t="n">
        <v>0.1351959724923495</v>
      </c>
      <c r="J2588" t="n">
        <v>0.6613335608106103</v>
      </c>
      <c r="K2588" t="n">
        <v>0.0232561677897361</v>
      </c>
      <c r="L2588" t="b">
        <v>0</v>
      </c>
      <c r="M2588" t="b">
        <v>0</v>
      </c>
      <c r="N2588" t="inlineStr">
        <is>
          <t>alt</t>
        </is>
      </c>
      <c r="O2588" t="n">
        <v>95</v>
      </c>
      <c r="P2588" t="n">
        <v>0.0045</v>
      </c>
      <c r="Q2588" t="n">
        <v>85</v>
      </c>
      <c r="R2588" t="n">
        <v>0.167</v>
      </c>
      <c r="S2588">
        <f>IMAGE("https://mitra.stanford.edu/kundaje/oak/projects/neuro-variants/variant_position/credible/roussos_2024/variant_figures/roussos_2024.adolescence.Astrocyte/rs28365992_count_position.png",4,220,900)</f>
        <v/>
      </c>
      <c r="T2588">
        <f>IMAGE("https://mitra.stanford.edu/kundaje/oak/projects/neuro-variants/variant_position/credible/roussos_2024/variant_figures/roussos_2024.adolescence.Astrocyte/rs28365992_profile_position.png",4,220,900)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0.0286305539999999</v>
      </c>
      <c r="G2589" t="n">
        <v>0.4154600298073408</v>
      </c>
      <c r="H2589" t="n">
        <v>0.0136430524310738</v>
      </c>
      <c r="I2589" t="n">
        <v>0.4158422425182363</v>
      </c>
      <c r="J2589" t="n">
        <v>0.0352728243776518</v>
      </c>
      <c r="K2589" t="n">
        <v>0.4890809004492081</v>
      </c>
      <c r="L2589" t="b">
        <v>0</v>
      </c>
      <c r="M2589" t="b">
        <v>0</v>
      </c>
      <c r="N2589" t="inlineStr">
        <is>
          <t>alt</t>
        </is>
      </c>
      <c r="O2589" t="n">
        <v>-80</v>
      </c>
      <c r="P2589" t="n">
        <v>0.01707</v>
      </c>
      <c r="Q2589" t="n">
        <v>-80</v>
      </c>
      <c r="R2589" t="n">
        <v>0.1359</v>
      </c>
      <c r="S2589">
        <f>IMAGE("https://mitra.stanford.edu/kundaje/oak/projects/neuro-variants/variant_position/credible/roussos_2024/variant_figures/roussos_2024.adolescence.Astrocyte/rs12492683_count_position.png",4,220,900)</f>
        <v/>
      </c>
      <c r="T2589">
        <f>IMAGE("https://mitra.stanford.edu/kundaje/oak/projects/neuro-variants/variant_position/credible/roussos_2024/variant_figures/roussos_2024.adolescence.Astrocyte/rs12492683_profile_position.png",4,220,900)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0.4400903420000001</v>
      </c>
      <c r="G2590" t="n">
        <v>0.0022142801161795</v>
      </c>
      <c r="H2590" t="n">
        <v>0.060070616519126</v>
      </c>
      <c r="I2590" t="n">
        <v>0.0021092065219984</v>
      </c>
      <c r="J2590" t="n">
        <v>0.2528461857994836</v>
      </c>
      <c r="K2590" t="n">
        <v>0.1663884075751752</v>
      </c>
      <c r="L2590" t="b">
        <v>1</v>
      </c>
      <c r="M2590" t="b">
        <v>1</v>
      </c>
      <c r="N2590" t="inlineStr">
        <is>
          <t>alt</t>
        </is>
      </c>
      <c r="O2590" t="n">
        <v>0</v>
      </c>
      <c r="P2590" t="n">
        <v>0</v>
      </c>
      <c r="Q2590" t="n">
        <v>5</v>
      </c>
      <c r="R2590" t="n">
        <v>0.002197</v>
      </c>
      <c r="S2590">
        <f>IMAGE("https://mitra.stanford.edu/kundaje/oak/projects/neuro-variants/variant_position/credible/roussos_2024/variant_figures/roussos_2024.adolescence.Astrocyte/rs12054403_count_position.png",4,220,900)</f>
        <v/>
      </c>
      <c r="T2590">
        <f>IMAGE("https://mitra.stanford.edu/kundaje/oak/projects/neuro-variants/variant_position/credible/roussos_2024/variant_figures/roussos_2024.adolescence.Astrocyte/rs12054403_profile_position.png",4,220,900)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0.0735004025999999</v>
      </c>
      <c r="G2591" t="n">
        <v>0.1492728048540732</v>
      </c>
      <c r="H2591" t="n">
        <v>0.0270096493664197</v>
      </c>
      <c r="I2591" t="n">
        <v>0.0479199122155228</v>
      </c>
      <c r="J2591" t="n">
        <v>0.5668976055544016</v>
      </c>
      <c r="K2591" t="n">
        <v>0.0408904669646434</v>
      </c>
      <c r="L2591" t="b">
        <v>0</v>
      </c>
      <c r="M2591" t="b">
        <v>0</v>
      </c>
      <c r="N2591" t="inlineStr">
        <is>
          <t>alt</t>
        </is>
      </c>
      <c r="O2591" t="n">
        <v>15</v>
      </c>
      <c r="P2591" t="n">
        <v>0.0003395</v>
      </c>
      <c r="Q2591" t="n">
        <v>-40</v>
      </c>
      <c r="R2591" t="n">
        <v>0.1255</v>
      </c>
      <c r="S2591">
        <f>IMAGE("https://mitra.stanford.edu/kundaje/oak/projects/neuro-variants/variant_position/credible/roussos_2024/variant_figures/roussos_2024.adolescence.Astrocyte/rs2236947_count_position.png",4,220,900)</f>
        <v/>
      </c>
      <c r="T2591">
        <f>IMAGE("https://mitra.stanford.edu/kundaje/oak/projects/neuro-variants/variant_position/credible/roussos_2024/variant_figures/roussos_2024.adolescence.Astrocyte/rs2236947_profile_position.png",4,220,900)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-0.00479482644</v>
      </c>
      <c r="G2592" t="n">
        <v>0.8406325769012132</v>
      </c>
      <c r="H2592" t="n">
        <v>0.0252958253680517</v>
      </c>
      <c r="I2592" t="n">
        <v>0.0604402211705939</v>
      </c>
      <c r="J2592" t="n">
        <v>0.1630255466872384</v>
      </c>
      <c r="K2592" t="n">
        <v>0.2392923397748853</v>
      </c>
      <c r="L2592" t="b">
        <v>0</v>
      </c>
      <c r="M2592" t="b">
        <v>0</v>
      </c>
      <c r="N2592" t="inlineStr">
        <is>
          <t>ref</t>
        </is>
      </c>
      <c r="O2592" t="n">
        <v>100</v>
      </c>
      <c r="P2592" t="n">
        <v>0.006073</v>
      </c>
      <c r="Q2592" t="n">
        <v>100</v>
      </c>
      <c r="R2592" t="n">
        <v>0.1707</v>
      </c>
      <c r="S2592">
        <f>IMAGE("https://mitra.stanford.edu/kundaje/oak/projects/neuro-variants/variant_position/credible/roussos_2024/variant_figures/roussos_2024.adolescence.Astrocyte/rs58181992_count_position.png",4,220,900)</f>
        <v/>
      </c>
      <c r="T2592">
        <f>IMAGE("https://mitra.stanford.edu/kundaje/oak/projects/neuro-variants/variant_position/credible/roussos_2024/variant_figures/roussos_2024.adolescence.Astrocyte/rs58181992_profile_position.png",4,220,900)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0.014238860788</v>
      </c>
      <c r="G2593" t="n">
        <v>0.5435773141735181</v>
      </c>
      <c r="H2593" t="n">
        <v>0.0115542343806165</v>
      </c>
      <c r="I2593" t="n">
        <v>0.5980068917313588</v>
      </c>
      <c r="J2593" t="n">
        <v>0.051327033201792</v>
      </c>
      <c r="K2593" t="n">
        <v>0.448907372348948</v>
      </c>
      <c r="L2593" t="b">
        <v>0</v>
      </c>
      <c r="M2593" t="b">
        <v>0</v>
      </c>
      <c r="N2593" t="inlineStr">
        <is>
          <t>alt</t>
        </is>
      </c>
      <c r="O2593" t="n">
        <v>100</v>
      </c>
      <c r="P2593" t="n">
        <v>0.007366</v>
      </c>
      <c r="Q2593" t="n">
        <v>-90</v>
      </c>
      <c r="R2593" t="n">
        <v>0.1677</v>
      </c>
      <c r="S2593">
        <f>IMAGE("https://mitra.stanford.edu/kundaje/oak/projects/neuro-variants/variant_position/credible/roussos_2024/variant_figures/roussos_2024.adolescence.Astrocyte/rs6446206_count_position.png",4,220,900)</f>
        <v/>
      </c>
      <c r="T2593">
        <f>IMAGE("https://mitra.stanford.edu/kundaje/oak/projects/neuro-variants/variant_position/credible/roussos_2024/variant_figures/roussos_2024.adolescence.Astrocyte/rs6446206_profile_position.png",4,220,900)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0.0098292596999999</v>
      </c>
      <c r="G2594" t="n">
        <v>0.4193127133681904</v>
      </c>
      <c r="H2594" t="n">
        <v>0.0355601317230973</v>
      </c>
      <c r="I2594" t="n">
        <v>0.0167360462035031</v>
      </c>
      <c r="J2594" t="n">
        <v>0.6994414443818059</v>
      </c>
      <c r="K2594" t="n">
        <v>0.0185803297356877</v>
      </c>
      <c r="L2594" t="b">
        <v>1</v>
      </c>
      <c r="M2594" t="b">
        <v>0</v>
      </c>
      <c r="N2594" t="inlineStr">
        <is>
          <t>alt</t>
        </is>
      </c>
      <c r="O2594" t="n">
        <v>-100</v>
      </c>
      <c r="P2594" t="n">
        <v>0.00818</v>
      </c>
      <c r="Q2594" t="n">
        <v>-50</v>
      </c>
      <c r="R2594" t="n">
        <v>0.05273</v>
      </c>
      <c r="S2594">
        <f>IMAGE("https://mitra.stanford.edu/kundaje/oak/projects/neuro-variants/variant_position/credible/roussos_2024/variant_figures/roussos_2024.adolescence.Astrocyte/rs2157328_count_position.png",4,220,900)</f>
        <v/>
      </c>
      <c r="T2594">
        <f>IMAGE("https://mitra.stanford.edu/kundaje/oak/projects/neuro-variants/variant_position/credible/roussos_2024/variant_figures/roussos_2024.adolescence.Astrocyte/rs2157328_profile_position.png",4,220,900)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0.002306516572</v>
      </c>
      <c r="G2595" t="n">
        <v>0.8816101107094417</v>
      </c>
      <c r="H2595" t="n">
        <v>0.0236080995030551</v>
      </c>
      <c r="I2595" t="n">
        <v>0.08162177077416211</v>
      </c>
      <c r="J2595" t="n">
        <v>0.0336016081654451</v>
      </c>
      <c r="K2595" t="n">
        <v>0.5101554937667657</v>
      </c>
      <c r="L2595" t="b">
        <v>0</v>
      </c>
      <c r="M2595" t="b">
        <v>0</v>
      </c>
      <c r="N2595" t="inlineStr">
        <is>
          <t>alt</t>
        </is>
      </c>
      <c r="O2595" t="n">
        <v>25</v>
      </c>
      <c r="P2595" t="n">
        <v>0.004944</v>
      </c>
      <c r="Q2595" t="n">
        <v>80</v>
      </c>
      <c r="R2595" t="n">
        <v>0.04858</v>
      </c>
      <c r="S2595">
        <f>IMAGE("https://mitra.stanford.edu/kundaje/oak/projects/neuro-variants/variant_position/credible/roussos_2024/variant_figures/roussos_2024.adolescence.Astrocyte/rs9311454_count_position.png",4,220,900)</f>
        <v/>
      </c>
      <c r="T2595">
        <f>IMAGE("https://mitra.stanford.edu/kundaje/oak/projects/neuro-variants/variant_position/credible/roussos_2024/variant_figures/roussos_2024.adolescence.Astrocyte/rs9311454_profile_position.png",4,220,900)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0.03630703364</v>
      </c>
      <c r="G2596" t="n">
        <v>0.3577131913477753</v>
      </c>
      <c r="H2596" t="n">
        <v>0.0205833089199709</v>
      </c>
      <c r="I2596" t="n">
        <v>0.1334903588902908</v>
      </c>
      <c r="J2596" t="n">
        <v>0.2351370797851823</v>
      </c>
      <c r="K2596" t="n">
        <v>0.1757635796905743</v>
      </c>
      <c r="L2596" t="b">
        <v>0</v>
      </c>
      <c r="M2596" t="b">
        <v>0</v>
      </c>
      <c r="N2596" t="inlineStr">
        <is>
          <t>alt</t>
        </is>
      </c>
      <c r="O2596" t="n">
        <v>100</v>
      </c>
      <c r="P2596" t="n">
        <v>0.0332</v>
      </c>
      <c r="Q2596" t="n">
        <v>65</v>
      </c>
      <c r="R2596" t="n">
        <v>0.2578</v>
      </c>
      <c r="S2596">
        <f>IMAGE("https://mitra.stanford.edu/kundaje/oak/projects/neuro-variants/variant_position/credible/roussos_2024/variant_figures/roussos_2024.adolescence.Astrocyte/rs80049775_count_position.png",4,220,900)</f>
        <v/>
      </c>
      <c r="T2596">
        <f>IMAGE("https://mitra.stanford.edu/kundaje/oak/projects/neuro-variants/variant_position/credible/roussos_2024/variant_figures/roussos_2024.adolescence.Astrocyte/rs80049775_profile_position.png",4,220,900)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0.2107982799999999</v>
      </c>
      <c r="G2597" t="n">
        <v>0.0181628707156443</v>
      </c>
      <c r="H2597" t="n">
        <v>0.0315059764979877</v>
      </c>
      <c r="I2597" t="n">
        <v>0.0292495013807865</v>
      </c>
      <c r="J2597" t="n">
        <v>0.2685591787081268</v>
      </c>
      <c r="K2597" t="n">
        <v>0.1535121142284124</v>
      </c>
      <c r="L2597" t="b">
        <v>1</v>
      </c>
      <c r="M2597" t="b">
        <v>0</v>
      </c>
      <c r="N2597" t="inlineStr">
        <is>
          <t>alt</t>
        </is>
      </c>
      <c r="O2597" t="n">
        <v>65</v>
      </c>
      <c r="P2597" t="n">
        <v>0.01767</v>
      </c>
      <c r="Q2597" t="n">
        <v>-25</v>
      </c>
      <c r="R2597" t="n">
        <v>0.09863</v>
      </c>
      <c r="S2597">
        <f>IMAGE("https://mitra.stanford.edu/kundaje/oak/projects/neuro-variants/variant_position/credible/roussos_2024/variant_figures/roussos_2024.adolescence.Astrocyte/rs17051014_count_position.png",4,220,900)</f>
        <v/>
      </c>
      <c r="T2597">
        <f>IMAGE("https://mitra.stanford.edu/kundaje/oak/projects/neuro-variants/variant_position/credible/roussos_2024/variant_figures/roussos_2024.adolescence.Astrocyte/rs17051014_profile_position.png",4,220,900)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0.0182858294</v>
      </c>
      <c r="G2598" t="n">
        <v>0.5648655372419461</v>
      </c>
      <c r="H2598" t="n">
        <v>0.0281571141139246</v>
      </c>
      <c r="I2598" t="n">
        <v>0.0399383407837531</v>
      </c>
      <c r="J2598" t="n">
        <v>0.0002855828857964</v>
      </c>
      <c r="K2598" t="n">
        <v>0.952340648336218</v>
      </c>
      <c r="L2598" t="b">
        <v>0</v>
      </c>
      <c r="M2598" t="b">
        <v>0</v>
      </c>
      <c r="N2598" t="inlineStr">
        <is>
          <t>alt</t>
        </is>
      </c>
      <c r="O2598" t="n">
        <v>0</v>
      </c>
      <c r="P2598" t="n">
        <v>0</v>
      </c>
      <c r="Q2598" t="n">
        <v>-60</v>
      </c>
      <c r="R2598" t="n">
        <v>0.0448</v>
      </c>
      <c r="S2598">
        <f>IMAGE("https://mitra.stanford.edu/kundaje/oak/projects/neuro-variants/variant_position/credible/roussos_2024/variant_figures/roussos_2024.adolescence.Astrocyte/rs2028216_count_position.png",4,220,900)</f>
        <v/>
      </c>
      <c r="T2598">
        <f>IMAGE("https://mitra.stanford.edu/kundaje/oak/projects/neuro-variants/variant_position/credible/roussos_2024/variant_figures/roussos_2024.adolescence.Astrocyte/rs2028216_profile_position.png",4,220,900)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0.0221756563</v>
      </c>
      <c r="G2599" t="n">
        <v>0.5110587131377419</v>
      </c>
      <c r="H2599" t="n">
        <v>0.0263395120904014</v>
      </c>
      <c r="I2599" t="n">
        <v>0.0520579159855069</v>
      </c>
      <c r="J2599" t="n">
        <v>0.0106147820668782</v>
      </c>
      <c r="K2599" t="n">
        <v>0.6528999581869191</v>
      </c>
      <c r="L2599" t="b">
        <v>0</v>
      </c>
      <c r="M2599" t="b">
        <v>0</v>
      </c>
      <c r="N2599" t="inlineStr">
        <is>
          <t>alt</t>
        </is>
      </c>
      <c r="O2599" t="n">
        <v>-75</v>
      </c>
      <c r="P2599" t="n">
        <v>0.0429</v>
      </c>
      <c r="Q2599" t="n">
        <v>-70</v>
      </c>
      <c r="R2599" t="n">
        <v>0.1418</v>
      </c>
      <c r="S2599">
        <f>IMAGE("https://mitra.stanford.edu/kundaje/oak/projects/neuro-variants/variant_position/credible/roussos_2024/variant_figures/roussos_2024.adolescence.Astrocyte/rs12488461_count_position.png",4,220,900)</f>
        <v/>
      </c>
      <c r="T2599">
        <f>IMAGE("https://mitra.stanford.edu/kundaje/oak/projects/neuro-variants/variant_position/credible/roussos_2024/variant_figures/roussos_2024.adolescence.Astrocyte/rs12488461_profile_position.png",4,220,900)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-0.0229408404</v>
      </c>
      <c r="G2600" t="n">
        <v>0.5106607527424503</v>
      </c>
      <c r="H2600" t="n">
        <v>0.0109957010104239</v>
      </c>
      <c r="I2600" t="n">
        <v>0.645043505368864</v>
      </c>
      <c r="J2600" t="n">
        <v>0.2474104679108684</v>
      </c>
      <c r="K2600" t="n">
        <v>0.1687996526994484</v>
      </c>
      <c r="L2600" t="b">
        <v>0</v>
      </c>
      <c r="M2600" t="b">
        <v>0</v>
      </c>
      <c r="N2600" t="inlineStr">
        <is>
          <t>ref</t>
        </is>
      </c>
      <c r="O2600" t="n">
        <v>90</v>
      </c>
      <c r="P2600" t="n">
        <v>0.00847</v>
      </c>
      <c r="Q2600" t="n">
        <v>-100</v>
      </c>
      <c r="R2600" t="n">
        <v>0.0649</v>
      </c>
      <c r="S2600">
        <f>IMAGE("https://mitra.stanford.edu/kundaje/oak/projects/neuro-variants/variant_position/credible/roussos_2024/variant_figures/roussos_2024.adolescence.Astrocyte/rs35526119_count_position.png",4,220,900)</f>
        <v/>
      </c>
      <c r="T2600">
        <f>IMAGE("https://mitra.stanford.edu/kundaje/oak/projects/neuro-variants/variant_position/credible/roussos_2024/variant_figures/roussos_2024.adolescence.Astrocyte/rs35526119_profile_position.png",4,220,900)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0.0138225342</v>
      </c>
      <c r="G2601" t="n">
        <v>0.4811020700476878</v>
      </c>
      <c r="H2601" t="n">
        <v>0.0100888871861533</v>
      </c>
      <c r="I2601" t="n">
        <v>0.748852349594245</v>
      </c>
      <c r="J2601" t="n">
        <v>0.0011631012076075</v>
      </c>
      <c r="K2601" t="n">
        <v>0.8724171887626073</v>
      </c>
      <c r="L2601" t="b">
        <v>0</v>
      </c>
      <c r="M2601" t="b">
        <v>0</v>
      </c>
      <c r="N2601" t="inlineStr">
        <is>
          <t>alt</t>
        </is>
      </c>
      <c r="O2601" t="n">
        <v>-85</v>
      </c>
      <c r="P2601" t="n">
        <v>0.00338</v>
      </c>
      <c r="Q2601" t="n">
        <v>60</v>
      </c>
      <c r="R2601" t="n">
        <v>0.11523</v>
      </c>
      <c r="S2601">
        <f>IMAGE("https://mitra.stanford.edu/kundaje/oak/projects/neuro-variants/variant_position/credible/roussos_2024/variant_figures/roussos_2024.adolescence.Astrocyte/rs2710323_count_position.png",4,220,900)</f>
        <v/>
      </c>
      <c r="T2601">
        <f>IMAGE("https://mitra.stanford.edu/kundaje/oak/projects/neuro-variants/variant_position/credible/roussos_2024/variant_figures/roussos_2024.adolescence.Astrocyte/rs2710323_profile_position.png",4,220,900)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-0.127809484</v>
      </c>
      <c r="G2602" t="n">
        <v>0.0485768703254286</v>
      </c>
      <c r="H2602" t="n">
        <v>0.0334014946035648</v>
      </c>
      <c r="I2602" t="n">
        <v>0.020136084583357</v>
      </c>
      <c r="J2602" t="n">
        <v>0.293965670711806</v>
      </c>
      <c r="K2602" t="n">
        <v>0.1383552958286329</v>
      </c>
      <c r="L2602" t="b">
        <v>0</v>
      </c>
      <c r="M2602" t="b">
        <v>0</v>
      </c>
      <c r="N2602" t="inlineStr">
        <is>
          <t>ref</t>
        </is>
      </c>
      <c r="O2602" t="n">
        <v>-25</v>
      </c>
      <c r="P2602" t="n">
        <v>0.00531</v>
      </c>
      <c r="Q2602" t="n">
        <v>-60</v>
      </c>
      <c r="R2602" t="n">
        <v>0.136</v>
      </c>
      <c r="S2602">
        <f>IMAGE("https://mitra.stanford.edu/kundaje/oak/projects/neuro-variants/variant_position/credible/roussos_2024/variant_figures/roussos_2024.adolescence.Astrocyte/rs2535646_count_position.png",4,220,900)</f>
        <v/>
      </c>
      <c r="T2602">
        <f>IMAGE("https://mitra.stanford.edu/kundaje/oak/projects/neuro-variants/variant_position/credible/roussos_2024/variant_figures/roussos_2024.adolescence.Astrocyte/rs2535646_profile_position.png",4,220,900)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-0.00345532202</v>
      </c>
      <c r="G2603" t="n">
        <v>0.5636553774453662</v>
      </c>
      <c r="H2603" t="n">
        <v>0.0074695954106553</v>
      </c>
      <c r="I2603" t="n">
        <v>0.9236157242781738</v>
      </c>
      <c r="J2603" t="n">
        <v>0.5469883986588731</v>
      </c>
      <c r="K2603" t="n">
        <v>0.0443813483387394</v>
      </c>
      <c r="L2603" t="b">
        <v>0</v>
      </c>
      <c r="M2603" t="b">
        <v>0</v>
      </c>
      <c r="N2603" t="inlineStr">
        <is>
          <t>ref</t>
        </is>
      </c>
      <c r="O2603" t="n">
        <v>100</v>
      </c>
      <c r="P2603" t="n">
        <v>0.007435</v>
      </c>
      <c r="Q2603" t="n">
        <v>-100</v>
      </c>
      <c r="R2603" t="n">
        <v>0.11035</v>
      </c>
      <c r="S2603">
        <f>IMAGE("https://mitra.stanford.edu/kundaje/oak/projects/neuro-variants/variant_position/credible/roussos_2024/variant_figures/roussos_2024.adolescence.Astrocyte/rs62253582_count_position.png",4,220,900)</f>
        <v/>
      </c>
      <c r="T2603">
        <f>IMAGE("https://mitra.stanford.edu/kundaje/oak/projects/neuro-variants/variant_position/credible/roussos_2024/variant_figures/roussos_2024.adolescence.Astrocyte/rs62253582_profile_position.png",4,220,900)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-0.0147030123399999</v>
      </c>
      <c r="G2604" t="n">
        <v>0.5932937126431033</v>
      </c>
      <c r="H2604" t="n">
        <v>0.0092078193026755</v>
      </c>
      <c r="I2604" t="n">
        <v>0.7763666814594193</v>
      </c>
      <c r="J2604" t="n">
        <v>0.5451198706346616</v>
      </c>
      <c r="K2604" t="n">
        <v>0.044844256694734</v>
      </c>
      <c r="L2604" t="b">
        <v>0</v>
      </c>
      <c r="M2604" t="b">
        <v>0</v>
      </c>
      <c r="N2604" t="inlineStr">
        <is>
          <t>ref</t>
        </is>
      </c>
      <c r="O2604" t="n">
        <v>100</v>
      </c>
      <c r="P2604" t="n">
        <v>0.00776</v>
      </c>
      <c r="Q2604" t="n">
        <v>-100</v>
      </c>
      <c r="R2604" t="n">
        <v>0.1658</v>
      </c>
      <c r="S2604">
        <f>IMAGE("https://mitra.stanford.edu/kundaje/oak/projects/neuro-variants/variant_position/credible/roussos_2024/variant_figures/roussos_2024.adolescence.Astrocyte/rs62253583_count_position.png",4,220,900)</f>
        <v/>
      </c>
      <c r="T2604">
        <f>IMAGE("https://mitra.stanford.edu/kundaje/oak/projects/neuro-variants/variant_position/credible/roussos_2024/variant_figures/roussos_2024.adolescence.Astrocyte/rs62253583_profile_position.png",4,220,900)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-0.00034399788</v>
      </c>
      <c r="G2605" t="n">
        <v>0.6614535957634375</v>
      </c>
      <c r="H2605" t="n">
        <v>0.0159139637721435</v>
      </c>
      <c r="I2605" t="n">
        <v>0.2730539110643361</v>
      </c>
      <c r="J2605" t="n">
        <v>0.0011920303830519</v>
      </c>
      <c r="K2605" t="n">
        <v>0.8838159288016855</v>
      </c>
      <c r="L2605" t="b">
        <v>0</v>
      </c>
      <c r="M2605" t="b">
        <v>0</v>
      </c>
      <c r="N2605" t="inlineStr">
        <is>
          <t>ref</t>
        </is>
      </c>
      <c r="O2605" t="n">
        <v>70</v>
      </c>
      <c r="P2605" t="n">
        <v>0.01219</v>
      </c>
      <c r="Q2605" t="n">
        <v>-90</v>
      </c>
      <c r="R2605" t="n">
        <v>0.1831</v>
      </c>
      <c r="S2605">
        <f>IMAGE("https://mitra.stanford.edu/kundaje/oak/projects/neuro-variants/variant_position/credible/roussos_2024/variant_figures/roussos_2024.adolescence.Astrocyte/rs2465101_count_position.png",4,220,900)</f>
        <v/>
      </c>
      <c r="T2605">
        <f>IMAGE("https://mitra.stanford.edu/kundaje/oak/projects/neuro-variants/variant_position/credible/roussos_2024/variant_figures/roussos_2024.adolescence.Astrocyte/rs2465101_profile_position.png",4,220,900)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-0.0060812942799999</v>
      </c>
      <c r="G2606" t="n">
        <v>0.7815917023877293</v>
      </c>
      <c r="H2606" t="n">
        <v>0.01087560317886</v>
      </c>
      <c r="I2606" t="n">
        <v>0.662251128966593</v>
      </c>
      <c r="J2606" t="n">
        <v>0.0040960745334242</v>
      </c>
      <c r="K2606" t="n">
        <v>0.7616076396786097</v>
      </c>
      <c r="L2606" t="b">
        <v>0</v>
      </c>
      <c r="M2606" t="b">
        <v>0</v>
      </c>
      <c r="N2606" t="inlineStr">
        <is>
          <t>ref</t>
        </is>
      </c>
      <c r="O2606" t="n">
        <v>-80</v>
      </c>
      <c r="P2606" t="n">
        <v>0.01141</v>
      </c>
      <c r="Q2606" t="n">
        <v>0</v>
      </c>
      <c r="R2606" t="n">
        <v>0</v>
      </c>
      <c r="S2606">
        <f>IMAGE("https://mitra.stanford.edu/kundaje/oak/projects/neuro-variants/variant_position/credible/roussos_2024/variant_figures/roussos_2024.adolescence.Astrocyte/rs6801235_count_position.png",4,220,900)</f>
        <v/>
      </c>
      <c r="T2606">
        <f>IMAGE("https://mitra.stanford.edu/kundaje/oak/projects/neuro-variants/variant_position/credible/roussos_2024/variant_figures/roussos_2024.adolescence.Astrocyte/rs6801235_profile_position.png",4,220,900)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-0.0298782353999999</v>
      </c>
      <c r="G2607" t="n">
        <v>0.417474912068657</v>
      </c>
      <c r="H2607" t="n">
        <v>0.0121468394405834</v>
      </c>
      <c r="I2607" t="n">
        <v>0.5367008260527756</v>
      </c>
      <c r="J2607" t="n">
        <v>0.0019056167106785</v>
      </c>
      <c r="K2607" t="n">
        <v>0.8223571589466838</v>
      </c>
      <c r="L2607" t="b">
        <v>0</v>
      </c>
      <c r="M2607" t="b">
        <v>0</v>
      </c>
      <c r="N2607" t="inlineStr">
        <is>
          <t>ref</t>
        </is>
      </c>
      <c r="O2607" t="n">
        <v>-85</v>
      </c>
      <c r="P2607" t="n">
        <v>0.01685</v>
      </c>
      <c r="Q2607" t="n">
        <v>-65</v>
      </c>
      <c r="R2607" t="n">
        <v>0.10547</v>
      </c>
      <c r="S2607">
        <f>IMAGE("https://mitra.stanford.edu/kundaje/oak/projects/neuro-variants/variant_position/credible/roussos_2024/variant_figures/roussos_2024.adolescence.Astrocyte/rs2581816_count_position.png",4,220,900)</f>
        <v/>
      </c>
      <c r="T2607">
        <f>IMAGE("https://mitra.stanford.edu/kundaje/oak/projects/neuro-variants/variant_position/credible/roussos_2024/variant_figures/roussos_2024.adolescence.Astrocyte/rs2581816_profile_position.png",4,220,900)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-0.07336887239999999</v>
      </c>
      <c r="G2608" t="n">
        <v>0.153611838295569</v>
      </c>
      <c r="H2608" t="n">
        <v>0.0102002526979736</v>
      </c>
      <c r="I2608" t="n">
        <v>0.6777990466385848</v>
      </c>
      <c r="J2608" t="n">
        <v>0.0044076194997477</v>
      </c>
      <c r="K2608" t="n">
        <v>0.7621616715003565</v>
      </c>
      <c r="L2608" t="b">
        <v>0</v>
      </c>
      <c r="M2608" t="b">
        <v>0</v>
      </c>
      <c r="N2608" t="inlineStr">
        <is>
          <t>ref</t>
        </is>
      </c>
      <c r="O2608" t="n">
        <v>-100</v>
      </c>
      <c r="P2608" t="n">
        <v>0.01782</v>
      </c>
      <c r="Q2608" t="n">
        <v>100</v>
      </c>
      <c r="R2608" t="n">
        <v>0.08246000000000001</v>
      </c>
      <c r="S2608">
        <f>IMAGE("https://mitra.stanford.edu/kundaje/oak/projects/neuro-variants/variant_position/credible/roussos_2024/variant_figures/roussos_2024.adolescence.Astrocyte/rs6771610_count_position.png",4,220,900)</f>
        <v/>
      </c>
      <c r="T2608">
        <f>IMAGE("https://mitra.stanford.edu/kundaje/oak/projects/neuro-variants/variant_position/credible/roussos_2024/variant_figures/roussos_2024.adolescence.Astrocyte/rs6771610_profile_position.png",4,220,900)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0.03756276776</v>
      </c>
      <c r="G2609" t="n">
        <v>0.328250265717507</v>
      </c>
      <c r="H2609" t="n">
        <v>0.0136940177901201</v>
      </c>
      <c r="I2609" t="n">
        <v>0.4145454987641275</v>
      </c>
      <c r="J2609" t="n">
        <v>0.2187980298489748</v>
      </c>
      <c r="K2609" t="n">
        <v>0.1902102180043102</v>
      </c>
      <c r="L2609" t="b">
        <v>0</v>
      </c>
      <c r="M2609" t="b">
        <v>0</v>
      </c>
      <c r="N2609" t="inlineStr">
        <is>
          <t>alt</t>
        </is>
      </c>
      <c r="O2609" t="n">
        <v>40</v>
      </c>
      <c r="P2609" t="n">
        <v>0.001659</v>
      </c>
      <c r="Q2609" t="n">
        <v>-65</v>
      </c>
      <c r="R2609" t="n">
        <v>0.0548</v>
      </c>
      <c r="S2609">
        <f>IMAGE("https://mitra.stanford.edu/kundaje/oak/projects/neuro-variants/variant_position/credible/roussos_2024/variant_figures/roussos_2024.adolescence.Astrocyte/rs2035450_count_position.png",4,220,900)</f>
        <v/>
      </c>
      <c r="T2609">
        <f>IMAGE("https://mitra.stanford.edu/kundaje/oak/projects/neuro-variants/variant_position/credible/roussos_2024/variant_figures/roussos_2024.adolescence.Astrocyte/rs2035450_profile_position.png",4,220,900)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0.1255497708</v>
      </c>
      <c r="G2610" t="n">
        <v>0.0493249847360297</v>
      </c>
      <c r="H2610" t="n">
        <v>0.0238888661259797</v>
      </c>
      <c r="I2610" t="n">
        <v>0.0738667674830884</v>
      </c>
      <c r="J2610" t="n">
        <v>0.5665741922084087</v>
      </c>
      <c r="K2610" t="n">
        <v>0.0397915266677245</v>
      </c>
      <c r="L2610" t="b">
        <v>0</v>
      </c>
      <c r="M2610" t="b">
        <v>0</v>
      </c>
      <c r="N2610" t="inlineStr">
        <is>
          <t>alt</t>
        </is>
      </c>
      <c r="O2610" t="n">
        <v>-65</v>
      </c>
      <c r="P2610" t="n">
        <v>0.004364</v>
      </c>
      <c r="Q2610" t="n">
        <v>-65</v>
      </c>
      <c r="R2610" t="n">
        <v>0.11206</v>
      </c>
      <c r="S2610">
        <f>IMAGE("https://mitra.stanford.edu/kundaje/oak/projects/neuro-variants/variant_position/credible/roussos_2024/variant_figures/roussos_2024.adolescence.Astrocyte/rs3773744_count_position.png",4,220,900)</f>
        <v/>
      </c>
      <c r="T2610">
        <f>IMAGE("https://mitra.stanford.edu/kundaje/oak/projects/neuro-variants/variant_position/credible/roussos_2024/variant_figures/roussos_2024.adolescence.Astrocyte/rs3773744_profile_position.png",4,220,900)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-0.2479595299999999</v>
      </c>
      <c r="G2611" t="n">
        <v>0.0105352028896239</v>
      </c>
      <c r="H2611" t="n">
        <v>0.0461982003520917</v>
      </c>
      <c r="I2611" t="n">
        <v>0.0058845295431107</v>
      </c>
      <c r="J2611" t="n">
        <v>0.3360435272824377</v>
      </c>
      <c r="K2611" t="n">
        <v>0.1149335349718684</v>
      </c>
      <c r="L2611" t="b">
        <v>1</v>
      </c>
      <c r="M2611" t="b">
        <v>1</v>
      </c>
      <c r="N2611" t="inlineStr">
        <is>
          <t>ref</t>
        </is>
      </c>
      <c r="O2611" t="n">
        <v>0</v>
      </c>
      <c r="P2611" t="n">
        <v>0</v>
      </c>
      <c r="Q2611" t="n">
        <v>100</v>
      </c>
      <c r="R2611" t="n">
        <v>0.04858</v>
      </c>
      <c r="S2611">
        <f>IMAGE("https://mitra.stanford.edu/kundaje/oak/projects/neuro-variants/variant_position/credible/roussos_2024/variant_figures/roussos_2024.adolescence.Astrocyte/rs12490667_count_position.png",4,220,900)</f>
        <v/>
      </c>
      <c r="T2611">
        <f>IMAGE("https://mitra.stanford.edu/kundaje/oak/projects/neuro-variants/variant_position/credible/roussos_2024/variant_figures/roussos_2024.adolescence.Astrocyte/rs12490667_profile_position.png",4,220,900)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-0.0003087060999999</v>
      </c>
      <c r="G2612" t="n">
        <v>0.7836448445177178</v>
      </c>
      <c r="H2612" t="n">
        <v>0.0106849435140586</v>
      </c>
      <c r="I2612" t="n">
        <v>0.6810525604343669</v>
      </c>
      <c r="J2612" t="n">
        <v>0.1045025665371035</v>
      </c>
      <c r="K2612" t="n">
        <v>0.3174717759503345</v>
      </c>
      <c r="L2612" t="b">
        <v>0</v>
      </c>
      <c r="M2612" t="b">
        <v>0</v>
      </c>
      <c r="N2612" t="inlineStr">
        <is>
          <t>ref</t>
        </is>
      </c>
      <c r="O2612" t="n">
        <v>55</v>
      </c>
      <c r="P2612" t="n">
        <v>0.005848</v>
      </c>
      <c r="Q2612" t="n">
        <v>-45</v>
      </c>
      <c r="R2612" t="n">
        <v>0.013794</v>
      </c>
      <c r="S2612">
        <f>IMAGE("https://mitra.stanford.edu/kundaje/oak/projects/neuro-variants/variant_position/credible/roussos_2024/variant_figures/roussos_2024.adolescence.Astrocyte/rs2358740_count_position.png",4,220,900)</f>
        <v/>
      </c>
      <c r="T2612">
        <f>IMAGE("https://mitra.stanford.edu/kundaje/oak/projects/neuro-variants/variant_position/credible/roussos_2024/variant_figures/roussos_2024.adolescence.Astrocyte/rs2358740_profile_position.png",4,220,900)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0.0512399757999999</v>
      </c>
      <c r="G2613" t="n">
        <v>0.2250606778792328</v>
      </c>
      <c r="H2613" t="n">
        <v>0.0117100702301581</v>
      </c>
      <c r="I2613" t="n">
        <v>0.5887933892985618</v>
      </c>
      <c r="J2613" t="n">
        <v>6.527608818206094e-05</v>
      </c>
      <c r="K2613" t="n">
        <v>0.9883772139080106</v>
      </c>
      <c r="L2613" t="b">
        <v>0</v>
      </c>
      <c r="M2613" t="b">
        <v>0</v>
      </c>
      <c r="N2613" t="inlineStr">
        <is>
          <t>alt</t>
        </is>
      </c>
      <c r="O2613" t="n">
        <v>70</v>
      </c>
      <c r="P2613" t="n">
        <v>0.003494</v>
      </c>
      <c r="Q2613" t="n">
        <v>15</v>
      </c>
      <c r="R2613" t="n">
        <v>0.003906</v>
      </c>
      <c r="S2613">
        <f>IMAGE("https://mitra.stanford.edu/kundaje/oak/projects/neuro-variants/variant_position/credible/roussos_2024/variant_figures/roussos_2024.adolescence.Astrocyte/rs9799015_count_position.png",4,220,900)</f>
        <v/>
      </c>
      <c r="T2613">
        <f>IMAGE("https://mitra.stanford.edu/kundaje/oak/projects/neuro-variants/variant_position/credible/roussos_2024/variant_figures/roussos_2024.adolescence.Astrocyte/rs9799015_profile_position.png",4,220,900)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0.0181058436</v>
      </c>
      <c r="G2614" t="n">
        <v>0.5696890550053765</v>
      </c>
      <c r="H2614" t="n">
        <v>0.0577321902966779</v>
      </c>
      <c r="I2614" t="n">
        <v>0.0022092525596467</v>
      </c>
      <c r="J2614" t="n">
        <v>0.0050069726730557</v>
      </c>
      <c r="K2614" t="n">
        <v>0.7472763103311639</v>
      </c>
      <c r="L2614" t="b">
        <v>0</v>
      </c>
      <c r="M2614" t="b">
        <v>0</v>
      </c>
      <c r="N2614" t="inlineStr">
        <is>
          <t>alt</t>
        </is>
      </c>
      <c r="O2614" t="n">
        <v>-40</v>
      </c>
      <c r="P2614" t="n">
        <v>0.001617</v>
      </c>
      <c r="Q2614" t="n">
        <v>60</v>
      </c>
      <c r="R2614" t="n">
        <v>0.09045</v>
      </c>
      <c r="S2614">
        <f>IMAGE("https://mitra.stanford.edu/kundaje/oak/projects/neuro-variants/variant_position/credible/roussos_2024/variant_figures/roussos_2024.adolescence.Astrocyte/rs11715213_count_position.png",4,220,900)</f>
        <v/>
      </c>
      <c r="T2614">
        <f>IMAGE("https://mitra.stanford.edu/kundaje/oak/projects/neuro-variants/variant_position/credible/roussos_2024/variant_figures/roussos_2024.adolescence.Astrocyte/rs11715213_profile_position.png",4,220,900)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0.03009750538</v>
      </c>
      <c r="G2615" t="n">
        <v>0.4675004210260244</v>
      </c>
      <c r="H2615" t="n">
        <v>0.0168048091917609</v>
      </c>
      <c r="I2615" t="n">
        <v>0.2338396565142703</v>
      </c>
      <c r="J2615" t="n">
        <v>0.0479007803459632</v>
      </c>
      <c r="K2615" t="n">
        <v>0.4425829222309037</v>
      </c>
      <c r="L2615" t="b">
        <v>0</v>
      </c>
      <c r="M2615" t="b">
        <v>0</v>
      </c>
      <c r="N2615" t="inlineStr">
        <is>
          <t>alt</t>
        </is>
      </c>
      <c r="O2615" t="n">
        <v>75</v>
      </c>
      <c r="P2615" t="n">
        <v>0.02449</v>
      </c>
      <c r="Q2615" t="n">
        <v>-65</v>
      </c>
      <c r="R2615" t="n">
        <v>0.1217</v>
      </c>
      <c r="S2615">
        <f>IMAGE("https://mitra.stanford.edu/kundaje/oak/projects/neuro-variants/variant_position/credible/roussos_2024/variant_figures/roussos_2024.adolescence.Astrocyte/rs998411_count_position.png",4,220,900)</f>
        <v/>
      </c>
      <c r="T2615">
        <f>IMAGE("https://mitra.stanford.edu/kundaje/oak/projects/neuro-variants/variant_position/credible/roussos_2024/variant_figures/roussos_2024.adolescence.Astrocyte/rs998411_profile_position.png",4,220,900)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0.0779479187999999</v>
      </c>
      <c r="G2616" t="n">
        <v>0.1477780156715298</v>
      </c>
      <c r="H2616" t="n">
        <v>0.0170154303442106</v>
      </c>
      <c r="I2616" t="n">
        <v>0.227270695236054</v>
      </c>
      <c r="J2616" t="n">
        <v>0.1869143696406847</v>
      </c>
      <c r="K2616" t="n">
        <v>0.2183139170378744</v>
      </c>
      <c r="L2616" t="b">
        <v>0</v>
      </c>
      <c r="M2616" t="b">
        <v>0</v>
      </c>
      <c r="N2616" t="inlineStr">
        <is>
          <t>alt</t>
        </is>
      </c>
      <c r="O2616" t="n">
        <v>90</v>
      </c>
      <c r="P2616" t="n">
        <v>0.05692</v>
      </c>
      <c r="Q2616" t="n">
        <v>90</v>
      </c>
      <c r="R2616" t="n">
        <v>0.1558</v>
      </c>
      <c r="S2616">
        <f>IMAGE("https://mitra.stanford.edu/kundaje/oak/projects/neuro-variants/variant_position/credible/roussos_2024/variant_figures/roussos_2024.adolescence.Astrocyte/rs10049216_count_position.png",4,220,900)</f>
        <v/>
      </c>
      <c r="T2616">
        <f>IMAGE("https://mitra.stanford.edu/kundaje/oak/projects/neuro-variants/variant_position/credible/roussos_2024/variant_figures/roussos_2024.adolescence.Astrocyte/rs10049216_profile_position.png",4,220,900)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-0.02147898344</v>
      </c>
      <c r="G2617" t="n">
        <v>0.5032251740151413</v>
      </c>
      <c r="H2617" t="n">
        <v>0.008488874961111</v>
      </c>
      <c r="I2617" t="n">
        <v>0.8812214005601651</v>
      </c>
      <c r="J2617" t="n">
        <v>0.0040426668249116</v>
      </c>
      <c r="K2617" t="n">
        <v>0.7593719536165562</v>
      </c>
      <c r="L2617" t="b">
        <v>0</v>
      </c>
      <c r="M2617" t="b">
        <v>0</v>
      </c>
      <c r="N2617" t="inlineStr">
        <is>
          <t>ref</t>
        </is>
      </c>
      <c r="O2617" t="n">
        <v>-100</v>
      </c>
      <c r="P2617" t="n">
        <v>0.006443</v>
      </c>
      <c r="Q2617" t="n">
        <v>-100</v>
      </c>
      <c r="R2617" t="n">
        <v>0.0762</v>
      </c>
      <c r="S2617">
        <f>IMAGE("https://mitra.stanford.edu/kundaje/oak/projects/neuro-variants/variant_position/credible/roussos_2024/variant_figures/roussos_2024.adolescence.Astrocyte/rs4679526_count_position.png",4,220,900)</f>
        <v/>
      </c>
      <c r="T2617">
        <f>IMAGE("https://mitra.stanford.edu/kundaje/oak/projects/neuro-variants/variant_position/credible/roussos_2024/variant_figures/roussos_2024.adolescence.Astrocyte/rs4679526_profile_position.png",4,220,900)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0.016283669934</v>
      </c>
      <c r="G2618" t="n">
        <v>0.6158389980248657</v>
      </c>
      <c r="H2618" t="n">
        <v>0.0286665184134644</v>
      </c>
      <c r="I2618" t="n">
        <v>0.0377526536037741</v>
      </c>
      <c r="J2618" t="n">
        <v>0.0806834703142153</v>
      </c>
      <c r="K2618" t="n">
        <v>0.355731828372222</v>
      </c>
      <c r="L2618" t="b">
        <v>0</v>
      </c>
      <c r="M2618" t="b">
        <v>0</v>
      </c>
      <c r="N2618" t="inlineStr">
        <is>
          <t>alt</t>
        </is>
      </c>
      <c r="O2618" t="n">
        <v>-100</v>
      </c>
      <c r="P2618" t="n">
        <v>0.09546</v>
      </c>
      <c r="Q2618" t="n">
        <v>-100</v>
      </c>
      <c r="R2618" t="n">
        <v>0.3599</v>
      </c>
      <c r="S2618">
        <f>IMAGE("https://mitra.stanford.edu/kundaje/oak/projects/neuro-variants/variant_position/credible/roussos_2024/variant_figures/roussos_2024.adolescence.Astrocyte/rs1882900_count_position.png",4,220,900)</f>
        <v/>
      </c>
      <c r="T2618">
        <f>IMAGE("https://mitra.stanford.edu/kundaje/oak/projects/neuro-variants/variant_position/credible/roussos_2024/variant_figures/roussos_2024.adolescence.Astrocyte/rs1882900_profile_position.png",4,220,900)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0.1198343291999999</v>
      </c>
      <c r="G2619" t="n">
        <v>0.0725020359337394</v>
      </c>
      <c r="H2619" t="n">
        <v>0.0165209680173886</v>
      </c>
      <c r="I2619" t="n">
        <v>0.2659514881009315</v>
      </c>
      <c r="J2619" t="n">
        <v>0.0873178945494465</v>
      </c>
      <c r="K2619" t="n">
        <v>0.3494483676896742</v>
      </c>
      <c r="L2619" t="b">
        <v>0</v>
      </c>
      <c r="M2619" t="b">
        <v>0</v>
      </c>
      <c r="N2619" t="inlineStr">
        <is>
          <t>alt</t>
        </is>
      </c>
      <c r="O2619" t="n">
        <v>-15</v>
      </c>
      <c r="P2619" t="n">
        <v>0.005333</v>
      </c>
      <c r="Q2619" t="n">
        <v>100</v>
      </c>
      <c r="R2619" t="n">
        <v>0.199</v>
      </c>
      <c r="S2619">
        <f>IMAGE("https://mitra.stanford.edu/kundaje/oak/projects/neuro-variants/variant_position/credible/roussos_2024/variant_figures/roussos_2024.adolescence.Astrocyte/rs6787076_count_position.png",4,220,900)</f>
        <v/>
      </c>
      <c r="T2619">
        <f>IMAGE("https://mitra.stanford.edu/kundaje/oak/projects/neuro-variants/variant_position/credible/roussos_2024/variant_figures/roussos_2024.adolescence.Astrocyte/rs6787076_profile_position.png",4,220,900)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0.286594864</v>
      </c>
      <c r="G2620" t="n">
        <v>0.0070183719142588</v>
      </c>
      <c r="H2620" t="n">
        <v>0.026966030844805</v>
      </c>
      <c r="I2620" t="n">
        <v>0.0491360460398319</v>
      </c>
      <c r="J2620" t="n">
        <v>0.113641218882592</v>
      </c>
      <c r="K2620" t="n">
        <v>0.3051941522939431</v>
      </c>
      <c r="L2620" t="b">
        <v>1</v>
      </c>
      <c r="M2620" t="b">
        <v>1</v>
      </c>
      <c r="N2620" t="inlineStr">
        <is>
          <t>alt</t>
        </is>
      </c>
      <c r="O2620" t="n">
        <v>100</v>
      </c>
      <c r="P2620" t="n">
        <v>0.0994</v>
      </c>
      <c r="Q2620" t="n">
        <v>-20</v>
      </c>
      <c r="R2620" t="n">
        <v>0.0659</v>
      </c>
      <c r="S2620">
        <f>IMAGE("https://mitra.stanford.edu/kundaje/oak/projects/neuro-variants/variant_position/credible/roussos_2024/variant_figures/roussos_2024.adolescence.Astrocyte/rs9847855_count_position.png",4,220,900)</f>
        <v/>
      </c>
      <c r="T2620">
        <f>IMAGE("https://mitra.stanford.edu/kundaje/oak/projects/neuro-variants/variant_position/credible/roussos_2024/variant_figures/roussos_2024.adolescence.Astrocyte/rs9847855_profile_position.png",4,220,900)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-0.0342386915999999</v>
      </c>
      <c r="G2621" t="n">
        <v>0.3664273833252231</v>
      </c>
      <c r="H2621" t="n">
        <v>0.0147093143593519</v>
      </c>
      <c r="I2621" t="n">
        <v>0.344800748683685</v>
      </c>
      <c r="J2621" t="n">
        <v>0.0463245111711123</v>
      </c>
      <c r="K2621" t="n">
        <v>0.4544043930209216</v>
      </c>
      <c r="L2621" t="b">
        <v>0</v>
      </c>
      <c r="M2621" t="b">
        <v>0</v>
      </c>
      <c r="N2621" t="inlineStr">
        <is>
          <t>ref</t>
        </is>
      </c>
      <c r="O2621" t="n">
        <v>-100</v>
      </c>
      <c r="P2621" t="n">
        <v>0.01904</v>
      </c>
      <c r="Q2621" t="n">
        <v>40</v>
      </c>
      <c r="R2621" t="n">
        <v>0.1169</v>
      </c>
      <c r="S2621">
        <f>IMAGE("https://mitra.stanford.edu/kundaje/oak/projects/neuro-variants/variant_position/credible/roussos_2024/variant_figures/roussos_2024.adolescence.Astrocyte/rs9848065_count_position.png",4,220,900)</f>
        <v/>
      </c>
      <c r="T2621">
        <f>IMAGE("https://mitra.stanford.edu/kundaje/oak/projects/neuro-variants/variant_position/credible/roussos_2024/variant_figures/roussos_2024.adolescence.Astrocyte/rs9848065_profile_position.png",4,220,900)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-0.0211521374</v>
      </c>
      <c r="G2622" t="n">
        <v>0.5410072633491103</v>
      </c>
      <c r="H2622" t="n">
        <v>0.0296200533594192</v>
      </c>
      <c r="I2622" t="n">
        <v>0.034090638990037</v>
      </c>
      <c r="J2622" t="n">
        <v>0.0048259798830964</v>
      </c>
      <c r="K2622" t="n">
        <v>0.7397442990003503</v>
      </c>
      <c r="L2622" t="b">
        <v>0</v>
      </c>
      <c r="M2622" t="b">
        <v>0</v>
      </c>
      <c r="N2622" t="inlineStr">
        <is>
          <t>ref</t>
        </is>
      </c>
      <c r="O2622" t="n">
        <v>10</v>
      </c>
      <c r="P2622" t="n">
        <v>0.00299</v>
      </c>
      <c r="Q2622" t="n">
        <v>-20</v>
      </c>
      <c r="R2622" t="n">
        <v>0.06146</v>
      </c>
      <c r="S2622">
        <f>IMAGE("https://mitra.stanford.edu/kundaje/oak/projects/neuro-variants/variant_position/credible/roussos_2024/variant_figures/roussos_2024.adolescence.Astrocyte/rs2687176_count_position.png",4,220,900)</f>
        <v/>
      </c>
      <c r="T2622">
        <f>IMAGE("https://mitra.stanford.edu/kundaje/oak/projects/neuro-variants/variant_position/credible/roussos_2024/variant_figures/roussos_2024.adolescence.Astrocyte/rs2687176_profile_position.png",4,220,900)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0.1042841782</v>
      </c>
      <c r="G2623" t="n">
        <v>0.0717521702201938</v>
      </c>
      <c r="H2623" t="n">
        <v>0.0129653039597369</v>
      </c>
      <c r="I2623" t="n">
        <v>0.4691227607499281</v>
      </c>
      <c r="J2623" t="n">
        <v>0.1613602646648665</v>
      </c>
      <c r="K2623" t="n">
        <v>0.2397773745637976</v>
      </c>
      <c r="L2623" t="b">
        <v>0</v>
      </c>
      <c r="M2623" t="b">
        <v>0</v>
      </c>
      <c r="N2623" t="inlineStr">
        <is>
          <t>alt</t>
        </is>
      </c>
      <c r="O2623" t="n">
        <v>-100</v>
      </c>
      <c r="P2623" t="n">
        <v>0.006363</v>
      </c>
      <c r="Q2623" t="n">
        <v>-100</v>
      </c>
      <c r="R2623" t="n">
        <v>0.2695</v>
      </c>
      <c r="S2623">
        <f>IMAGE("https://mitra.stanford.edu/kundaje/oak/projects/neuro-variants/variant_position/credible/roussos_2024/variant_figures/roussos_2024.adolescence.Astrocyte/rs68056303_count_position.png",4,220,900)</f>
        <v/>
      </c>
      <c r="T2623">
        <f>IMAGE("https://mitra.stanford.edu/kundaje/oak/projects/neuro-variants/variant_position/credible/roussos_2024/variant_figures/roussos_2024.adolescence.Astrocyte/rs68056303_profile_position.png",4,220,900)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-0.04511046372</v>
      </c>
      <c r="G2624" t="n">
        <v>0.2622888294929699</v>
      </c>
      <c r="H2624" t="n">
        <v>0.0170556338240788</v>
      </c>
      <c r="I2624" t="n">
        <v>0.2304418082190842</v>
      </c>
      <c r="J2624" t="n">
        <v>0.1091304928344657</v>
      </c>
      <c r="K2624" t="n">
        <v>0.3156506324339395</v>
      </c>
      <c r="L2624" t="b">
        <v>0</v>
      </c>
      <c r="M2624" t="b">
        <v>0</v>
      </c>
      <c r="N2624" t="inlineStr">
        <is>
          <t>ref</t>
        </is>
      </c>
      <c r="O2624" t="n">
        <v>100</v>
      </c>
      <c r="P2624" t="n">
        <v>0.01599</v>
      </c>
      <c r="Q2624" t="n">
        <v>100</v>
      </c>
      <c r="R2624" t="n">
        <v>0.3342</v>
      </c>
      <c r="S2624">
        <f>IMAGE("https://mitra.stanford.edu/kundaje/oak/projects/neuro-variants/variant_position/credible/roussos_2024/variant_figures/roussos_2024.adolescence.Astrocyte/rs9862806_count_position.png",4,220,900)</f>
        <v/>
      </c>
      <c r="T2624">
        <f>IMAGE("https://mitra.stanford.edu/kundaje/oak/projects/neuro-variants/variant_position/credible/roussos_2024/variant_figures/roussos_2024.adolescence.Astrocyte/rs9862806_profile_position.png",4,220,900)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-0.1407634372</v>
      </c>
      <c r="G2625" t="n">
        <v>0.0443078040861835</v>
      </c>
      <c r="H2625" t="n">
        <v>0.0196800462177133</v>
      </c>
      <c r="I2625" t="n">
        <v>0.1514066572635127</v>
      </c>
      <c r="J2625" t="n">
        <v>0.1105020324600183</v>
      </c>
      <c r="K2625" t="n">
        <v>0.313408845300425</v>
      </c>
      <c r="L2625" t="b">
        <v>0</v>
      </c>
      <c r="M2625" t="b">
        <v>0</v>
      </c>
      <c r="N2625" t="inlineStr">
        <is>
          <t>ref</t>
        </is>
      </c>
      <c r="O2625" t="n">
        <v>100</v>
      </c>
      <c r="P2625" t="n">
        <v>0.02408</v>
      </c>
      <c r="Q2625" t="n">
        <v>100</v>
      </c>
      <c r="R2625" t="n">
        <v>0.3909</v>
      </c>
      <c r="S2625">
        <f>IMAGE("https://mitra.stanford.edu/kundaje/oak/projects/neuro-variants/variant_position/credible/roussos_2024/variant_figures/roussos_2024.adolescence.Astrocyte/rs9862809_count_position.png",4,220,900)</f>
        <v/>
      </c>
      <c r="T2625">
        <f>IMAGE("https://mitra.stanford.edu/kundaje/oak/projects/neuro-variants/variant_position/credible/roussos_2024/variant_figures/roussos_2024.adolescence.Astrocyte/rs9862809_profile_position.png",4,220,900)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0.00498238432</v>
      </c>
      <c r="G2626" t="n">
        <v>0.4626307965601186</v>
      </c>
      <c r="H2626" t="n">
        <v>0.0142455200100185</v>
      </c>
      <c r="I2626" t="n">
        <v>0.3688118014979785</v>
      </c>
      <c r="J2626" t="n">
        <v>0.005153102097736</v>
      </c>
      <c r="K2626" t="n">
        <v>0.735884781290694</v>
      </c>
      <c r="L2626" t="b">
        <v>0</v>
      </c>
      <c r="M2626" t="b">
        <v>0</v>
      </c>
      <c r="N2626" t="inlineStr">
        <is>
          <t>alt</t>
        </is>
      </c>
      <c r="O2626" t="n">
        <v>-90</v>
      </c>
      <c r="P2626" t="n">
        <v>0.00997</v>
      </c>
      <c r="Q2626" t="n">
        <v>-90</v>
      </c>
      <c r="R2626" t="n">
        <v>0.094</v>
      </c>
      <c r="S2626">
        <f>IMAGE("https://mitra.stanford.edu/kundaje/oak/projects/neuro-variants/variant_position/credible/roussos_2024/variant_figures/roussos_2024.adolescence.Astrocyte/rs2687189_count_position.png",4,220,900)</f>
        <v/>
      </c>
      <c r="T2626">
        <f>IMAGE("https://mitra.stanford.edu/kundaje/oak/projects/neuro-variants/variant_position/credible/roussos_2024/variant_figures/roussos_2024.adolescence.Astrocyte/rs2687189_profile_position.png",4,220,900)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0.2455512739999999</v>
      </c>
      <c r="G2627" t="n">
        <v>0.0125961359804637</v>
      </c>
      <c r="H2627" t="n">
        <v>0.0481602011510243</v>
      </c>
      <c r="I2627" t="n">
        <v>0.0049143962747269</v>
      </c>
      <c r="J2627" t="n">
        <v>0.0002573954840814</v>
      </c>
      <c r="K2627" t="n">
        <v>0.9552144065479689</v>
      </c>
      <c r="L2627" t="b">
        <v>1</v>
      </c>
      <c r="M2627" t="b">
        <v>0</v>
      </c>
      <c r="N2627" t="inlineStr">
        <is>
          <t>alt</t>
        </is>
      </c>
      <c r="O2627" t="n">
        <v>80</v>
      </c>
      <c r="P2627" t="n">
        <v>0.01076</v>
      </c>
      <c r="Q2627" t="n">
        <v>50</v>
      </c>
      <c r="R2627" t="n">
        <v>0.04733</v>
      </c>
      <c r="S2627">
        <f>IMAGE("https://mitra.stanford.edu/kundaje/oak/projects/neuro-variants/variant_position/credible/roussos_2024/variant_figures/roussos_2024.adolescence.Astrocyte/rs77635360_count_position.png",4,220,900)</f>
        <v/>
      </c>
      <c r="T2627">
        <f>IMAGE("https://mitra.stanford.edu/kundaje/oak/projects/neuro-variants/variant_position/credible/roussos_2024/variant_figures/roussos_2024.adolescence.Astrocyte/rs77635360_profile_position.png",4,220,900)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-0.0033108886199999</v>
      </c>
      <c r="G2628" t="n">
        <v>0.8344730794976142</v>
      </c>
      <c r="H2628" t="n">
        <v>0.0190412875619305</v>
      </c>
      <c r="I2628" t="n">
        <v>0.159099746547245</v>
      </c>
      <c r="J2628" t="n">
        <v>0.0608321217695753</v>
      </c>
      <c r="K2628" t="n">
        <v>0.4068172792441177</v>
      </c>
      <c r="L2628" t="b">
        <v>0</v>
      </c>
      <c r="M2628" t="b">
        <v>0</v>
      </c>
      <c r="N2628" t="inlineStr">
        <is>
          <t>ref</t>
        </is>
      </c>
      <c r="O2628" t="n">
        <v>85</v>
      </c>
      <c r="P2628" t="n">
        <v>0.00296</v>
      </c>
      <c r="Q2628" t="n">
        <v>20</v>
      </c>
      <c r="R2628" t="n">
        <v>0.04752</v>
      </c>
      <c r="S2628">
        <f>IMAGE("https://mitra.stanford.edu/kundaje/oak/projects/neuro-variants/variant_position/credible/roussos_2024/variant_figures/roussos_2024.adolescence.Astrocyte/rs12629110_count_position.png",4,220,900)</f>
        <v/>
      </c>
      <c r="T2628">
        <f>IMAGE("https://mitra.stanford.edu/kundaje/oak/projects/neuro-variants/variant_position/credible/roussos_2024/variant_figures/roussos_2024.adolescence.Astrocyte/rs12629110_profile_position.png",4,220,900)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-0.0234799974</v>
      </c>
      <c r="G2629" t="n">
        <v>0.4969704788515777</v>
      </c>
      <c r="H2629" t="n">
        <v>0.0505972320759498</v>
      </c>
      <c r="I2629" t="n">
        <v>0.0037634303534107</v>
      </c>
      <c r="J2629" t="n">
        <v>0.0001691244102898</v>
      </c>
      <c r="K2629" t="n">
        <v>0.9618447131226024</v>
      </c>
      <c r="L2629" t="b">
        <v>0</v>
      </c>
      <c r="M2629" t="b">
        <v>0</v>
      </c>
      <c r="N2629" t="inlineStr">
        <is>
          <t>ref</t>
        </is>
      </c>
      <c r="O2629" t="n">
        <v>-85</v>
      </c>
      <c r="P2629" t="n">
        <v>0.00714</v>
      </c>
      <c r="Q2629" t="n">
        <v>100</v>
      </c>
      <c r="R2629" t="n">
        <v>0.0631</v>
      </c>
      <c r="S2629">
        <f>IMAGE("https://mitra.stanford.edu/kundaje/oak/projects/neuro-variants/variant_position/credible/roussos_2024/variant_figures/roussos_2024.adolescence.Astrocyte/rs9818182_count_position.png",4,220,900)</f>
        <v/>
      </c>
      <c r="T2629">
        <f>IMAGE("https://mitra.stanford.edu/kundaje/oak/projects/neuro-variants/variant_position/credible/roussos_2024/variant_figures/roussos_2024.adolescence.Astrocyte/rs9818182_profile_position.png",4,220,900)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-0.2374296356</v>
      </c>
      <c r="G2630" t="n">
        <v>0.0187891039404069</v>
      </c>
      <c r="H2630" t="n">
        <v>0.0360131737884613</v>
      </c>
      <c r="I2630" t="n">
        <v>0.0176648683176518</v>
      </c>
      <c r="J2630" t="n">
        <v>0.056825060083672</v>
      </c>
      <c r="K2630" t="n">
        <v>0.4508801858977702</v>
      </c>
      <c r="L2630" t="b">
        <v>1</v>
      </c>
      <c r="M2630" t="b">
        <v>0</v>
      </c>
      <c r="N2630" t="inlineStr">
        <is>
          <t>ref</t>
        </is>
      </c>
      <c r="O2630" t="n">
        <v>55</v>
      </c>
      <c r="P2630" t="n">
        <v>0.01044</v>
      </c>
      <c r="Q2630" t="n">
        <v>55</v>
      </c>
      <c r="R2630" t="n">
        <v>0.1567</v>
      </c>
      <c r="S2630">
        <f>IMAGE("https://mitra.stanford.edu/kundaje/oak/projects/neuro-variants/variant_position/credible/roussos_2024/variant_figures/roussos_2024.adolescence.Astrocyte/rs9828307_count_position.png",4,220,900)</f>
        <v/>
      </c>
      <c r="T2630">
        <f>IMAGE("https://mitra.stanford.edu/kundaje/oak/projects/neuro-variants/variant_position/credible/roussos_2024/variant_figures/roussos_2024.adolescence.Astrocyte/rs9828307_profile_position.png",4,220,900)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-0.1220462411999999</v>
      </c>
      <c r="G2631" t="n">
        <v>0.0547537519670158</v>
      </c>
      <c r="H2631" t="n">
        <v>0.0138754427834933</v>
      </c>
      <c r="I2631" t="n">
        <v>0.3978295459178131</v>
      </c>
      <c r="J2631" t="n">
        <v>0.4021533691362786</v>
      </c>
      <c r="K2631" t="n">
        <v>0.0866838092771058</v>
      </c>
      <c r="L2631" t="b">
        <v>0</v>
      </c>
      <c r="M2631" t="b">
        <v>0</v>
      </c>
      <c r="N2631" t="inlineStr">
        <is>
          <t>ref</t>
        </is>
      </c>
      <c r="O2631" t="n">
        <v>100</v>
      </c>
      <c r="P2631" t="n">
        <v>0.09216000000000001</v>
      </c>
      <c r="Q2631" t="n">
        <v>100</v>
      </c>
      <c r="R2631" t="n">
        <v>0.3892</v>
      </c>
      <c r="S2631">
        <f>IMAGE("https://mitra.stanford.edu/kundaje/oak/projects/neuro-variants/variant_position/credible/roussos_2024/variant_figures/roussos_2024.adolescence.Astrocyte/rs606506_count_position.png",4,220,900)</f>
        <v/>
      </c>
      <c r="T2631">
        <f>IMAGE("https://mitra.stanford.edu/kundaje/oak/projects/neuro-variants/variant_position/credible/roussos_2024/variant_figures/roussos_2024.adolescence.Astrocyte/rs606506_profile_position.png",4,220,900)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0.0267895859999999</v>
      </c>
      <c r="G2632" t="n">
        <v>0.4420352081649246</v>
      </c>
      <c r="H2632" t="n">
        <v>0.0267232361899421</v>
      </c>
      <c r="I2632" t="n">
        <v>0.0488664188353338</v>
      </c>
      <c r="J2632" t="n">
        <v>0.009771385336616799</v>
      </c>
      <c r="K2632" t="n">
        <v>0.6893855493825374</v>
      </c>
      <c r="L2632" t="b">
        <v>0</v>
      </c>
      <c r="M2632" t="b">
        <v>0</v>
      </c>
      <c r="N2632" t="inlineStr">
        <is>
          <t>alt</t>
        </is>
      </c>
      <c r="O2632" t="n">
        <v>-55</v>
      </c>
      <c r="P2632" t="n">
        <v>0.00775</v>
      </c>
      <c r="Q2632" t="n">
        <v>-55</v>
      </c>
      <c r="R2632" t="n">
        <v>0.137</v>
      </c>
      <c r="S2632">
        <f>IMAGE("https://mitra.stanford.edu/kundaje/oak/projects/neuro-variants/variant_position/credible/roussos_2024/variant_figures/roussos_2024.adolescence.Astrocyte/rs640732_count_position.png",4,220,900)</f>
        <v/>
      </c>
      <c r="T2632">
        <f>IMAGE("https://mitra.stanford.edu/kundaje/oak/projects/neuro-variants/variant_position/credible/roussos_2024/variant_figures/roussos_2024.adolescence.Astrocyte/rs640732_profile_position.png",4,220,900)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-0.0446634836</v>
      </c>
      <c r="G2633" t="n">
        <v>0.2680260552079399</v>
      </c>
      <c r="H2633" t="n">
        <v>0.0140593973033957</v>
      </c>
      <c r="I2633" t="n">
        <v>0.3834912943789095</v>
      </c>
      <c r="J2633" t="n">
        <v>0.0008574904311188</v>
      </c>
      <c r="K2633" t="n">
        <v>0.8828517054785806</v>
      </c>
      <c r="L2633" t="b">
        <v>0</v>
      </c>
      <c r="M2633" t="b">
        <v>0</v>
      </c>
      <c r="N2633" t="inlineStr">
        <is>
          <t>ref</t>
        </is>
      </c>
      <c r="O2633" t="n">
        <v>5</v>
      </c>
      <c r="P2633" t="n">
        <v>0.000475</v>
      </c>
      <c r="Q2633" t="n">
        <v>-55</v>
      </c>
      <c r="R2633" t="n">
        <v>0.00775</v>
      </c>
      <c r="S2633">
        <f>IMAGE("https://mitra.stanford.edu/kundaje/oak/projects/neuro-variants/variant_position/credible/roussos_2024/variant_figures/roussos_2024.adolescence.Astrocyte/rs626136_count_position.png",4,220,900)</f>
        <v/>
      </c>
      <c r="T2633">
        <f>IMAGE("https://mitra.stanford.edu/kundaje/oak/projects/neuro-variants/variant_position/credible/roussos_2024/variant_figures/roussos_2024.adolescence.Astrocyte/rs626136_profile_position.png",4,220,900)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-0.0704331832</v>
      </c>
      <c r="G2634" t="n">
        <v>0.1418538934644878</v>
      </c>
      <c r="H2634" t="n">
        <v>0.0139692785844564</v>
      </c>
      <c r="I2634" t="n">
        <v>0.3899145001302925</v>
      </c>
      <c r="J2634" t="n">
        <v>0.0032022371895676</v>
      </c>
      <c r="K2634" t="n">
        <v>0.807418308105936</v>
      </c>
      <c r="L2634" t="b">
        <v>0</v>
      </c>
      <c r="M2634" t="b">
        <v>0</v>
      </c>
      <c r="N2634" t="inlineStr">
        <is>
          <t>ref</t>
        </is>
      </c>
      <c r="O2634" t="n">
        <v>-10</v>
      </c>
      <c r="P2634" t="n">
        <v>0.00085</v>
      </c>
      <c r="Q2634" t="n">
        <v>30</v>
      </c>
      <c r="R2634" t="n">
        <v>0.05157</v>
      </c>
      <c r="S2634">
        <f>IMAGE("https://mitra.stanford.edu/kundaje/oak/projects/neuro-variants/variant_position/credible/roussos_2024/variant_figures/roussos_2024.adolescence.Astrocyte/rs623843_count_position.png",4,220,900)</f>
        <v/>
      </c>
      <c r="T2634">
        <f>IMAGE("https://mitra.stanford.edu/kundaje/oak/projects/neuro-variants/variant_position/credible/roussos_2024/variant_figures/roussos_2024.adolescence.Astrocyte/rs623843_profile_position.png",4,220,900)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0.03832533846</v>
      </c>
      <c r="G2635" t="n">
        <v>0.3414137348703015</v>
      </c>
      <c r="H2635" t="n">
        <v>0.0124748552191099</v>
      </c>
      <c r="I2635" t="n">
        <v>0.5063089030061171</v>
      </c>
      <c r="J2635" t="n">
        <v>0.0408902768299557</v>
      </c>
      <c r="K2635" t="n">
        <v>0.4671352990184182</v>
      </c>
      <c r="L2635" t="b">
        <v>0</v>
      </c>
      <c r="M2635" t="b">
        <v>0</v>
      </c>
      <c r="N2635" t="inlineStr">
        <is>
          <t>alt</t>
        </is>
      </c>
      <c r="O2635" t="n">
        <v>35</v>
      </c>
      <c r="P2635" t="n">
        <v>0.014404</v>
      </c>
      <c r="Q2635" t="n">
        <v>85</v>
      </c>
      <c r="R2635" t="n">
        <v>0.2036</v>
      </c>
      <c r="S2635">
        <f>IMAGE("https://mitra.stanford.edu/kundaje/oak/projects/neuro-variants/variant_position/credible/roussos_2024/variant_figures/roussos_2024.adolescence.Astrocyte/rs623808_count_position.png",4,220,900)</f>
        <v/>
      </c>
      <c r="T2635">
        <f>IMAGE("https://mitra.stanford.edu/kundaje/oak/projects/neuro-variants/variant_position/credible/roussos_2024/variant_figures/roussos_2024.adolescence.Astrocyte/rs623808_profile_position.png",4,220,900)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0.315676774</v>
      </c>
      <c r="G2636" t="n">
        <v>0.0051824504289829</v>
      </c>
      <c r="H2636" t="n">
        <v>0.0345500171978394</v>
      </c>
      <c r="I2636" t="n">
        <v>0.0178820536772914</v>
      </c>
      <c r="J2636" t="n">
        <v>0.0567108269293534</v>
      </c>
      <c r="K2636" t="n">
        <v>0.426357141420545</v>
      </c>
      <c r="L2636" t="b">
        <v>1</v>
      </c>
      <c r="M2636" t="b">
        <v>1</v>
      </c>
      <c r="N2636" t="inlineStr">
        <is>
          <t>alt</t>
        </is>
      </c>
      <c r="O2636" t="n">
        <v>0</v>
      </c>
      <c r="P2636" t="n">
        <v>0</v>
      </c>
      <c r="Q2636" t="n">
        <v>-35</v>
      </c>
      <c r="R2636" t="n">
        <v>0.0459</v>
      </c>
      <c r="S2636">
        <f>IMAGE("https://mitra.stanford.edu/kundaje/oak/projects/neuro-variants/variant_position/credible/roussos_2024/variant_figures/roussos_2024.adolescence.Astrocyte/rs9863323_count_position.png",4,220,900)</f>
        <v/>
      </c>
      <c r="T2636">
        <f>IMAGE("https://mitra.stanford.edu/kundaje/oak/projects/neuro-variants/variant_position/credible/roussos_2024/variant_figures/roussos_2024.adolescence.Astrocyte/rs9863323_profile_position.png",4,220,900)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0.0312745032</v>
      </c>
      <c r="G2637" t="n">
        <v>0.3615141721793063</v>
      </c>
      <c r="H2637" t="n">
        <v>0.0170367123018811</v>
      </c>
      <c r="I2637" t="n">
        <v>0.2234976612063999</v>
      </c>
      <c r="J2637" t="n">
        <v>0.0534225439871821</v>
      </c>
      <c r="K2637" t="n">
        <v>0.4274723122945285</v>
      </c>
      <c r="L2637" t="b">
        <v>0</v>
      </c>
      <c r="M2637" t="b">
        <v>0</v>
      </c>
      <c r="N2637" t="inlineStr">
        <is>
          <t>alt</t>
        </is>
      </c>
      <c r="O2637" t="n">
        <v>100</v>
      </c>
      <c r="P2637" t="n">
        <v>0.02914</v>
      </c>
      <c r="Q2637" t="n">
        <v>-45</v>
      </c>
      <c r="R2637" t="n">
        <v>0.1122</v>
      </c>
      <c r="S2637">
        <f>IMAGE("https://mitra.stanford.edu/kundaje/oak/projects/neuro-variants/variant_position/credible/roussos_2024/variant_figures/roussos_2024.adolescence.Astrocyte/rs6787306_count_position.png",4,220,900)</f>
        <v/>
      </c>
      <c r="T2637">
        <f>IMAGE("https://mitra.stanford.edu/kundaje/oak/projects/neuro-variants/variant_position/credible/roussos_2024/variant_figures/roussos_2024.adolescence.Astrocyte/rs6787306_profile_position.png",4,220,900)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-0.0107707793</v>
      </c>
      <c r="G2638" t="n">
        <v>0.7332738724912896</v>
      </c>
      <c r="H2638" t="n">
        <v>0.0433432961530221</v>
      </c>
      <c r="I2638" t="n">
        <v>0.0070746771581775</v>
      </c>
      <c r="J2638" t="n">
        <v>0.0345355012906862</v>
      </c>
      <c r="K2638" t="n">
        <v>0.4949700986220101</v>
      </c>
      <c r="L2638" t="b">
        <v>1</v>
      </c>
      <c r="M2638" t="b">
        <v>0</v>
      </c>
      <c r="N2638" t="inlineStr">
        <is>
          <t>ref</t>
        </is>
      </c>
      <c r="O2638" t="n">
        <v>100</v>
      </c>
      <c r="P2638" t="n">
        <v>0.00653</v>
      </c>
      <c r="Q2638" t="n">
        <v>100</v>
      </c>
      <c r="R2638" t="n">
        <v>0.1198</v>
      </c>
      <c r="S2638">
        <f>IMAGE("https://mitra.stanford.edu/kundaje/oak/projects/neuro-variants/variant_position/credible/roussos_2024/variant_figures/roussos_2024.adolescence.Astrocyte/rs6766287_count_position.png",4,220,900)</f>
        <v/>
      </c>
      <c r="T2638">
        <f>IMAGE("https://mitra.stanford.edu/kundaje/oak/projects/neuro-variants/variant_position/credible/roussos_2024/variant_figures/roussos_2024.adolescence.Astrocyte/rs6766287_profile_position.png",4,220,900)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0.0805018218</v>
      </c>
      <c r="G2639" t="n">
        <v>0.1168554797538767</v>
      </c>
      <c r="H2639" t="n">
        <v>0.0124052384980921</v>
      </c>
      <c r="I2639" t="n">
        <v>0.518317496347192</v>
      </c>
      <c r="J2639" t="n">
        <v>0.0049609827018365</v>
      </c>
      <c r="K2639" t="n">
        <v>0.7405205530941654</v>
      </c>
      <c r="L2639" t="b">
        <v>0</v>
      </c>
      <c r="M2639" t="b">
        <v>0</v>
      </c>
      <c r="N2639" t="inlineStr">
        <is>
          <t>alt</t>
        </is>
      </c>
      <c r="O2639" t="n">
        <v>75</v>
      </c>
      <c r="P2639" t="n">
        <v>0.002243</v>
      </c>
      <c r="Q2639" t="n">
        <v>-100</v>
      </c>
      <c r="R2639" t="n">
        <v>0.105</v>
      </c>
      <c r="S2639">
        <f>IMAGE("https://mitra.stanford.edu/kundaje/oak/projects/neuro-variants/variant_position/credible/roussos_2024/variant_figures/roussos_2024.adolescence.Astrocyte/rs11130874_count_position.png",4,220,900)</f>
        <v/>
      </c>
      <c r="T2639">
        <f>IMAGE("https://mitra.stanford.edu/kundaje/oak/projects/neuro-variants/variant_position/credible/roussos_2024/variant_figures/roussos_2024.adolescence.Astrocyte/rs11130874_profile_position.png",4,220,900)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0.01392612456</v>
      </c>
      <c r="G2640" t="n">
        <v>0.6027083927140715</v>
      </c>
      <c r="H2640" t="n">
        <v>0.0176566647223426</v>
      </c>
      <c r="I2640" t="n">
        <v>0.2051258561703006</v>
      </c>
      <c r="J2640" t="n">
        <v>0.0048029848974868</v>
      </c>
      <c r="K2640" t="n">
        <v>0.7449607584187702</v>
      </c>
      <c r="L2640" t="b">
        <v>0</v>
      </c>
      <c r="M2640" t="b">
        <v>0</v>
      </c>
      <c r="N2640" t="inlineStr">
        <is>
          <t>alt</t>
        </is>
      </c>
      <c r="O2640" t="n">
        <v>65</v>
      </c>
      <c r="P2640" t="n">
        <v>0.006104</v>
      </c>
      <c r="Q2640" t="n">
        <v>65</v>
      </c>
      <c r="R2640" t="n">
        <v>0.2551</v>
      </c>
      <c r="S2640">
        <f>IMAGE("https://mitra.stanford.edu/kundaje/oak/projects/neuro-variants/variant_position/credible/roussos_2024/variant_figures/roussos_2024.adolescence.Astrocyte/rs11715438_count_position.png",4,220,900)</f>
        <v/>
      </c>
      <c r="T2640">
        <f>IMAGE("https://mitra.stanford.edu/kundaje/oak/projects/neuro-variants/variant_position/credible/roussos_2024/variant_figures/roussos_2024.adolescence.Astrocyte/rs11715438_profile_position.png",4,220,900)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0.0397836822</v>
      </c>
      <c r="G2641" t="n">
        <v>0.2949096257720746</v>
      </c>
      <c r="H2641" t="n">
        <v>0.0114802554921405</v>
      </c>
      <c r="I2641" t="n">
        <v>0.6068230507945795</v>
      </c>
      <c r="J2641" t="n">
        <v>0.0160957481529833</v>
      </c>
      <c r="K2641" t="n">
        <v>0.6002345979991003</v>
      </c>
      <c r="L2641" t="b">
        <v>0</v>
      </c>
      <c r="M2641" t="b">
        <v>0</v>
      </c>
      <c r="N2641" t="inlineStr">
        <is>
          <t>alt</t>
        </is>
      </c>
      <c r="O2641" t="n">
        <v>-100</v>
      </c>
      <c r="P2641" t="n">
        <v>0.02835</v>
      </c>
      <c r="Q2641" t="n">
        <v>-75</v>
      </c>
      <c r="R2641" t="n">
        <v>0.1039</v>
      </c>
      <c r="S2641">
        <f>IMAGE("https://mitra.stanford.edu/kundaje/oak/projects/neuro-variants/variant_position/credible/roussos_2024/variant_figures/roussos_2024.adolescence.Astrocyte/rs1859404_count_position.png",4,220,900)</f>
        <v/>
      </c>
      <c r="T2641">
        <f>IMAGE("https://mitra.stanford.edu/kundaje/oak/projects/neuro-variants/variant_position/credible/roussos_2024/variant_figures/roussos_2024.adolescence.Astrocyte/rs1859404_profile_position.png",4,220,900)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0.0253874812</v>
      </c>
      <c r="G2642" t="n">
        <v>0.471750921314031</v>
      </c>
      <c r="H2642" t="n">
        <v>0.0189416718497435</v>
      </c>
      <c r="I2642" t="n">
        <v>0.162862535174076</v>
      </c>
      <c r="J2642" t="n">
        <v>0.0273959291457733</v>
      </c>
      <c r="K2642" t="n">
        <v>0.5821538511441382</v>
      </c>
      <c r="L2642" t="b">
        <v>0</v>
      </c>
      <c r="M2642" t="b">
        <v>0</v>
      </c>
      <c r="N2642" t="inlineStr">
        <is>
          <t>alt</t>
        </is>
      </c>
      <c r="O2642" t="n">
        <v>-10</v>
      </c>
      <c r="P2642" t="n">
        <v>0.003456</v>
      </c>
      <c r="Q2642" t="n">
        <v>-35</v>
      </c>
      <c r="R2642" t="n">
        <v>0.12103</v>
      </c>
      <c r="S2642">
        <f>IMAGE("https://mitra.stanford.edu/kundaje/oak/projects/neuro-variants/variant_position/credible/roussos_2024/variant_figures/roussos_2024.adolescence.Astrocyte/rs7646226_count_position.png",4,220,900)</f>
        <v/>
      </c>
      <c r="T2642">
        <f>IMAGE("https://mitra.stanford.edu/kundaje/oak/projects/neuro-variants/variant_position/credible/roussos_2024/variant_figures/roussos_2024.adolescence.Astrocyte/rs7646226_profile_position.png",4,220,900)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0.0503408378</v>
      </c>
      <c r="G2643" t="n">
        <v>0.2459080269219329</v>
      </c>
      <c r="H2643" t="n">
        <v>0.0200182226527341</v>
      </c>
      <c r="I2643" t="n">
        <v>0.1392102882470494</v>
      </c>
      <c r="J2643" t="n">
        <v>0.006171557428122</v>
      </c>
      <c r="K2643" t="n">
        <v>0.7229287945967369</v>
      </c>
      <c r="L2643" t="b">
        <v>0</v>
      </c>
      <c r="M2643" t="b">
        <v>0</v>
      </c>
      <c r="N2643" t="inlineStr">
        <is>
          <t>alt</t>
        </is>
      </c>
      <c r="O2643" t="n">
        <v>-95</v>
      </c>
      <c r="P2643" t="n">
        <v>0.00427</v>
      </c>
      <c r="Q2643" t="n">
        <v>100</v>
      </c>
      <c r="R2643" t="n">
        <v>0.04108</v>
      </c>
      <c r="S2643">
        <f>IMAGE("https://mitra.stanford.edu/kundaje/oak/projects/neuro-variants/variant_position/credible/roussos_2024/variant_figures/roussos_2024.adolescence.Astrocyte/rs35831310_count_position.png",4,220,900)</f>
        <v/>
      </c>
      <c r="T2643">
        <f>IMAGE("https://mitra.stanford.edu/kundaje/oak/projects/neuro-variants/variant_position/credible/roussos_2024/variant_figures/roussos_2024.adolescence.Astrocyte/rs35831310_profile_position.png",4,220,900)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-0.0769242572</v>
      </c>
      <c r="G2644" t="n">
        <v>0.09755239687491001</v>
      </c>
      <c r="H2644" t="n">
        <v>0.0180590772862784</v>
      </c>
      <c r="I2644" t="n">
        <v>0.194825915399188</v>
      </c>
      <c r="J2644" t="n">
        <v>0.400152063614515</v>
      </c>
      <c r="K2644" t="n">
        <v>0.0886525852205422</v>
      </c>
      <c r="L2644" t="b">
        <v>0</v>
      </c>
      <c r="M2644" t="b">
        <v>0</v>
      </c>
      <c r="N2644" t="inlineStr">
        <is>
          <t>ref</t>
        </is>
      </c>
      <c r="O2644" t="n">
        <v>45</v>
      </c>
      <c r="P2644" t="n">
        <v>0.0004883</v>
      </c>
      <c r="Q2644" t="n">
        <v>-100</v>
      </c>
      <c r="R2644" t="n">
        <v>0.1162</v>
      </c>
      <c r="S2644">
        <f>IMAGE("https://mitra.stanford.edu/kundaje/oak/projects/neuro-variants/variant_position/credible/roussos_2024/variant_figures/roussos_2024.adolescence.Astrocyte/rs113467722_count_position.png",4,220,900)</f>
        <v/>
      </c>
      <c r="T2644">
        <f>IMAGE("https://mitra.stanford.edu/kundaje/oak/projects/neuro-variants/variant_position/credible/roussos_2024/variant_figures/roussos_2024.adolescence.Astrocyte/rs113467722_profile_position.png",4,220,900)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-0.07002622859999991</v>
      </c>
      <c r="G2645" t="n">
        <v>0.1908942064229358</v>
      </c>
      <c r="H2645" t="n">
        <v>0.0133142254316081</v>
      </c>
      <c r="I2645" t="n">
        <v>0.4448222521990121</v>
      </c>
      <c r="J2645" t="n">
        <v>0.09573999347239109</v>
      </c>
      <c r="K2645" t="n">
        <v>0.3277200947989997</v>
      </c>
      <c r="L2645" t="b">
        <v>0</v>
      </c>
      <c r="M2645" t="b">
        <v>0</v>
      </c>
      <c r="N2645" t="inlineStr">
        <is>
          <t>ref</t>
        </is>
      </c>
      <c r="O2645" t="n">
        <v>-100</v>
      </c>
      <c r="P2645" t="n">
        <v>0.02188</v>
      </c>
      <c r="Q2645" t="n">
        <v>-100</v>
      </c>
      <c r="R2645" t="n">
        <v>0.1602</v>
      </c>
      <c r="S2645">
        <f>IMAGE("https://mitra.stanford.edu/kundaje/oak/projects/neuro-variants/variant_position/credible/roussos_2024/variant_figures/roussos_2024.adolescence.Astrocyte/rs2366683_count_position.png",4,220,900)</f>
        <v/>
      </c>
      <c r="T2645">
        <f>IMAGE("https://mitra.stanford.edu/kundaje/oak/projects/neuro-variants/variant_position/credible/roussos_2024/variant_figures/roussos_2024.adolescence.Astrocyte/rs2366683_profile_position.png",4,220,900)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-0.06330860319999999</v>
      </c>
      <c r="G2646" t="n">
        <v>0.1829303400522973</v>
      </c>
      <c r="H2646" t="n">
        <v>0.0156526185369346</v>
      </c>
      <c r="I2646" t="n">
        <v>0.2948913406566171</v>
      </c>
      <c r="J2646" t="n">
        <v>0.0389683410972316</v>
      </c>
      <c r="K2646" t="n">
        <v>0.4824494247640767</v>
      </c>
      <c r="L2646" t="b">
        <v>0</v>
      </c>
      <c r="M2646" t="b">
        <v>0</v>
      </c>
      <c r="N2646" t="inlineStr">
        <is>
          <t>ref</t>
        </is>
      </c>
      <c r="O2646" t="n">
        <v>-95</v>
      </c>
      <c r="P2646" t="n">
        <v>0.01217</v>
      </c>
      <c r="Q2646" t="n">
        <v>50</v>
      </c>
      <c r="R2646" t="n">
        <v>0.0436</v>
      </c>
      <c r="S2646">
        <f>IMAGE("https://mitra.stanford.edu/kundaje/oak/projects/neuro-variants/variant_position/credible/roussos_2024/variant_figures/roussos_2024.adolescence.Astrocyte/rs13081552_count_position.png",4,220,900)</f>
        <v/>
      </c>
      <c r="T2646">
        <f>IMAGE("https://mitra.stanford.edu/kundaje/oak/projects/neuro-variants/variant_position/credible/roussos_2024/variant_figures/roussos_2024.adolescence.Astrocyte/rs13081552_profile_position.png",4,220,900)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-0.08220535059999989</v>
      </c>
      <c r="G2647" t="n">
        <v>0.1179967909849445</v>
      </c>
      <c r="H2647" t="n">
        <v>0.015209718251128</v>
      </c>
      <c r="I2647" t="n">
        <v>0.3119674791897421</v>
      </c>
      <c r="J2647" t="n">
        <v>0.0505014390410348</v>
      </c>
      <c r="K2647" t="n">
        <v>0.4337439504321589</v>
      </c>
      <c r="L2647" t="b">
        <v>0</v>
      </c>
      <c r="M2647" t="b">
        <v>0</v>
      </c>
      <c r="N2647" t="inlineStr">
        <is>
          <t>ref</t>
        </is>
      </c>
      <c r="O2647" t="n">
        <v>35</v>
      </c>
      <c r="P2647" t="n">
        <v>0.001251</v>
      </c>
      <c r="Q2647" t="n">
        <v>-100</v>
      </c>
      <c r="R2647" t="n">
        <v>0.10706</v>
      </c>
      <c r="S2647">
        <f>IMAGE("https://mitra.stanford.edu/kundaje/oak/projects/neuro-variants/variant_position/credible/roussos_2024/variant_figures/roussos_2024.adolescence.Astrocyte/rs1452082_count_position.png",4,220,900)</f>
        <v/>
      </c>
      <c r="T2647">
        <f>IMAGE("https://mitra.stanford.edu/kundaje/oak/projects/neuro-variants/variant_position/credible/roussos_2024/variant_figures/roussos_2024.adolescence.Astrocyte/rs1452082_profile_position.png",4,220,900)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-0.0002251471599999</v>
      </c>
      <c r="G2648" t="n">
        <v>0.8747307068442359</v>
      </c>
      <c r="H2648" t="n">
        <v>0.011872946151005</v>
      </c>
      <c r="I2648" t="n">
        <v>0.5686087331032402</v>
      </c>
      <c r="J2648" t="n">
        <v>0.0028691807850932</v>
      </c>
      <c r="K2648" t="n">
        <v>0.7880533971888971</v>
      </c>
      <c r="L2648" t="b">
        <v>0</v>
      </c>
      <c r="M2648" t="b">
        <v>0</v>
      </c>
      <c r="N2648" t="inlineStr">
        <is>
          <t>ref</t>
        </is>
      </c>
      <c r="O2648" t="n">
        <v>85</v>
      </c>
      <c r="P2648" t="n">
        <v>0.007849999999999999</v>
      </c>
      <c r="Q2648" t="n">
        <v>-90</v>
      </c>
      <c r="R2648" t="n">
        <v>0.07635</v>
      </c>
      <c r="S2648">
        <f>IMAGE("https://mitra.stanford.edu/kundaje/oak/projects/neuro-variants/variant_position/credible/roussos_2024/variant_figures/roussos_2024.adolescence.Astrocyte/rs6786550_count_position.png",4,220,900)</f>
        <v/>
      </c>
      <c r="T2648">
        <f>IMAGE("https://mitra.stanford.edu/kundaje/oak/projects/neuro-variants/variant_position/credible/roussos_2024/variant_figures/roussos_2024.adolescence.Astrocyte/rs6786550_profile_position.png",4,220,900)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-0.0193696379999999</v>
      </c>
      <c r="G2649" t="n">
        <v>0.5556383044861136</v>
      </c>
      <c r="H2649" t="n">
        <v>0.0402023418597287</v>
      </c>
      <c r="I2649" t="n">
        <v>0.0094144974478818</v>
      </c>
      <c r="J2649" t="n">
        <v>0.0054001127496068</v>
      </c>
      <c r="K2649" t="n">
        <v>0.7309721021954797</v>
      </c>
      <c r="L2649" t="b">
        <v>0</v>
      </c>
      <c r="M2649" t="b">
        <v>0</v>
      </c>
      <c r="N2649" t="inlineStr">
        <is>
          <t>ref</t>
        </is>
      </c>
      <c r="O2649" t="n">
        <v>90</v>
      </c>
      <c r="P2649" t="n">
        <v>0.00717</v>
      </c>
      <c r="Q2649" t="n">
        <v>-55</v>
      </c>
      <c r="R2649" t="n">
        <v>0.0853</v>
      </c>
      <c r="S2649">
        <f>IMAGE("https://mitra.stanford.edu/kundaje/oak/projects/neuro-variants/variant_position/credible/roussos_2024/variant_figures/roussos_2024.adolescence.Astrocyte/rs72886387_count_position.png",4,220,900)</f>
        <v/>
      </c>
      <c r="T2649">
        <f>IMAGE("https://mitra.stanford.edu/kundaje/oak/projects/neuro-variants/variant_position/credible/roussos_2024/variant_figures/roussos_2024.adolescence.Astrocyte/rs72886387_profile_position.png",4,220,900)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-0.00603320088</v>
      </c>
      <c r="G2650" t="n">
        <v>0.7006955263990985</v>
      </c>
      <c r="H2650" t="n">
        <v>0.0207389689027664</v>
      </c>
      <c r="I2650" t="n">
        <v>0.1206518904456454</v>
      </c>
      <c r="J2650" t="n">
        <v>0.004256297658962</v>
      </c>
      <c r="K2650" t="n">
        <v>0.7714760585741132</v>
      </c>
      <c r="L2650" t="b">
        <v>0</v>
      </c>
      <c r="M2650" t="b">
        <v>0</v>
      </c>
      <c r="N2650" t="inlineStr">
        <is>
          <t>ref</t>
        </is>
      </c>
      <c r="O2650" t="n">
        <v>10</v>
      </c>
      <c r="P2650" t="n">
        <v>0.001236</v>
      </c>
      <c r="Q2650" t="n">
        <v>15</v>
      </c>
      <c r="R2650" t="n">
        <v>0.0772</v>
      </c>
      <c r="S2650">
        <f>IMAGE("https://mitra.stanford.edu/kundaje/oak/projects/neuro-variants/variant_position/credible/roussos_2024/variant_figures/roussos_2024.adolescence.Astrocyte/rs3774702_count_position.png",4,220,900)</f>
        <v/>
      </c>
      <c r="T2650">
        <f>IMAGE("https://mitra.stanford.edu/kundaje/oak/projects/neuro-variants/variant_position/credible/roussos_2024/variant_figures/roussos_2024.adolescence.Astrocyte/rs3774702_profile_position.png",4,220,900)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-0.0707336906</v>
      </c>
      <c r="G2651" t="n">
        <v>0.1535345497806155</v>
      </c>
      <c r="H2651" t="n">
        <v>0.0137875437821018</v>
      </c>
      <c r="I2651" t="n">
        <v>0.4043887861524873</v>
      </c>
      <c r="J2651" t="n">
        <v>0.1048118861822389</v>
      </c>
      <c r="K2651" t="n">
        <v>0.3159177198027861</v>
      </c>
      <c r="L2651" t="b">
        <v>0</v>
      </c>
      <c r="M2651" t="b">
        <v>0</v>
      </c>
      <c r="N2651" t="inlineStr">
        <is>
          <t>ref</t>
        </is>
      </c>
      <c r="O2651" t="n">
        <v>-85</v>
      </c>
      <c r="P2651" t="n">
        <v>0.009520000000000001</v>
      </c>
      <c r="Q2651" t="n">
        <v>-30</v>
      </c>
      <c r="R2651" t="n">
        <v>0.1</v>
      </c>
      <c r="S2651">
        <f>IMAGE("https://mitra.stanford.edu/kundaje/oak/projects/neuro-variants/variant_position/credible/roussos_2024/variant_figures/roussos_2024.adolescence.Astrocyte/rs3774720_count_position.png",4,220,900)</f>
        <v/>
      </c>
      <c r="T2651">
        <f>IMAGE("https://mitra.stanford.edu/kundaje/oak/projects/neuro-variants/variant_position/credible/roussos_2024/variant_figures/roussos_2024.adolescence.Astrocyte/rs3774720_profile_position.png",4,220,900)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-0.0027880377999999</v>
      </c>
      <c r="G2652" t="n">
        <v>0.6315727253658218</v>
      </c>
      <c r="H2652" t="n">
        <v>0.0106033530989587</v>
      </c>
      <c r="I2652" t="n">
        <v>0.689060032458596</v>
      </c>
      <c r="J2652" t="n">
        <v>0.1146478058333085</v>
      </c>
      <c r="K2652" t="n">
        <v>0.3047237099906652</v>
      </c>
      <c r="L2652" t="b">
        <v>0</v>
      </c>
      <c r="M2652" t="b">
        <v>0</v>
      </c>
      <c r="N2652" t="inlineStr">
        <is>
          <t>ref</t>
        </is>
      </c>
      <c r="O2652" t="n">
        <v>0</v>
      </c>
      <c r="P2652" t="n">
        <v>0</v>
      </c>
      <c r="Q2652" t="n">
        <v>65</v>
      </c>
      <c r="R2652" t="n">
        <v>0.1794</v>
      </c>
      <c r="S2652">
        <f>IMAGE("https://mitra.stanford.edu/kundaje/oak/projects/neuro-variants/variant_position/credible/roussos_2024/variant_figures/roussos_2024.adolescence.Astrocyte/rs35838_count_position.png",4,220,900)</f>
        <v/>
      </c>
      <c r="T2652">
        <f>IMAGE("https://mitra.stanford.edu/kundaje/oak/projects/neuro-variants/variant_position/credible/roussos_2024/variant_figures/roussos_2024.adolescence.Astrocyte/rs35838_profile_position.png",4,220,900)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-0.175072502</v>
      </c>
      <c r="G2653" t="n">
        <v>0.0273546492770134</v>
      </c>
      <c r="H2653" t="n">
        <v>0.0160861389440338</v>
      </c>
      <c r="I2653" t="n">
        <v>0.2694129634293298</v>
      </c>
      <c r="J2653" t="n">
        <v>0.1859930866688424</v>
      </c>
      <c r="K2653" t="n">
        <v>0.2181068061952794</v>
      </c>
      <c r="L2653" t="b">
        <v>0</v>
      </c>
      <c r="M2653" t="b">
        <v>0</v>
      </c>
      <c r="N2653" t="inlineStr">
        <is>
          <t>ref</t>
        </is>
      </c>
      <c r="O2653" t="n">
        <v>25</v>
      </c>
      <c r="P2653" t="n">
        <v>0.004013</v>
      </c>
      <c r="Q2653" t="n">
        <v>20</v>
      </c>
      <c r="R2653" t="n">
        <v>0.05176</v>
      </c>
      <c r="S2653">
        <f>IMAGE("https://mitra.stanford.edu/kundaje/oak/projects/neuro-variants/variant_position/credible/roussos_2024/variant_figures/roussos_2024.adolescence.Astrocyte/rs704375_count_position.png",4,220,900)</f>
        <v/>
      </c>
      <c r="T2653">
        <f>IMAGE("https://mitra.stanford.edu/kundaje/oak/projects/neuro-variants/variant_position/credible/roussos_2024/variant_figures/roussos_2024.adolescence.Astrocyte/rs704375_profile_position.png",4,220,900)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-0.01202053773</v>
      </c>
      <c r="G2654" t="n">
        <v>0.6948404055906807</v>
      </c>
      <c r="H2654" t="n">
        <v>0.016659667283571</v>
      </c>
      <c r="I2654" t="n">
        <v>0.2400216854283596</v>
      </c>
      <c r="J2654" t="n">
        <v>0.1968252084384179</v>
      </c>
      <c r="K2654" t="n">
        <v>0.2092616821551957</v>
      </c>
      <c r="L2654" t="b">
        <v>0</v>
      </c>
      <c r="M2654" t="b">
        <v>0</v>
      </c>
      <c r="N2654" t="inlineStr">
        <is>
          <t>ref</t>
        </is>
      </c>
      <c r="O2654" t="n">
        <v>-100</v>
      </c>
      <c r="P2654" t="n">
        <v>0.00844</v>
      </c>
      <c r="Q2654" t="n">
        <v>-100</v>
      </c>
      <c r="R2654" t="n">
        <v>0.3477</v>
      </c>
      <c r="S2654">
        <f>IMAGE("https://mitra.stanford.edu/kundaje/oak/projects/neuro-variants/variant_position/credible/roussos_2024/variant_figures/roussos_2024.adolescence.Astrocyte/rs26936_count_position.png",4,220,900)</f>
        <v/>
      </c>
      <c r="T2654">
        <f>IMAGE("https://mitra.stanford.edu/kundaje/oak/projects/neuro-variants/variant_position/credible/roussos_2024/variant_figures/roussos_2024.adolescence.Astrocyte/rs26936_profile_position.png",4,220,900)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-0.001547970566</v>
      </c>
      <c r="G2655" t="n">
        <v>0.8621199757291369</v>
      </c>
      <c r="H2655" t="n">
        <v>0.0243551407693049</v>
      </c>
      <c r="I2655" t="n">
        <v>0.0697484925807038</v>
      </c>
      <c r="J2655" t="n">
        <v>0.0067679435065127</v>
      </c>
      <c r="K2655" t="n">
        <v>0.7211295610486702</v>
      </c>
      <c r="L2655" t="b">
        <v>0</v>
      </c>
      <c r="M2655" t="b">
        <v>0</v>
      </c>
      <c r="N2655" t="inlineStr">
        <is>
          <t>ref</t>
        </is>
      </c>
      <c r="O2655" t="n">
        <v>-25</v>
      </c>
      <c r="P2655" t="n">
        <v>0.001587</v>
      </c>
      <c r="Q2655" t="n">
        <v>100</v>
      </c>
      <c r="R2655" t="n">
        <v>0.0876</v>
      </c>
      <c r="S2655">
        <f>IMAGE("https://mitra.stanford.edu/kundaje/oak/projects/neuro-variants/variant_position/credible/roussos_2024/variant_figures/roussos_2024.adolescence.Astrocyte/rs35483362_count_position.png",4,220,900)</f>
        <v/>
      </c>
      <c r="T2655">
        <f>IMAGE("https://mitra.stanford.edu/kundaje/oak/projects/neuro-variants/variant_position/credible/roussos_2024/variant_figures/roussos_2024.adolescence.Astrocyte/rs35483362_profile_position.png",4,220,900)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0.0263670859999999</v>
      </c>
      <c r="G2656" t="n">
        <v>0.4348592152228128</v>
      </c>
      <c r="H2656" t="n">
        <v>0.0114196109751006</v>
      </c>
      <c r="I2656" t="n">
        <v>0.5795464117711365</v>
      </c>
      <c r="J2656" t="n">
        <v>0.0812086461145891</v>
      </c>
      <c r="K2656" t="n">
        <v>0.3664817976406124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0.006203</v>
      </c>
      <c r="Q2656" t="n">
        <v>-35</v>
      </c>
      <c r="R2656" t="n">
        <v>0.03064</v>
      </c>
      <c r="S2656">
        <f>IMAGE("https://mitra.stanford.edu/kundaje/oak/projects/neuro-variants/variant_position/credible/roussos_2024/variant_figures/roussos_2024.adolescence.Astrocyte/rs6805189_count_position.png",4,220,900)</f>
        <v/>
      </c>
      <c r="T2656">
        <f>IMAGE("https://mitra.stanford.edu/kundaje/oak/projects/neuro-variants/variant_position/credible/roussos_2024/variant_figures/roussos_2024.adolescence.Astrocyte/rs6805189_profile_position.png",4,220,900)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0.0071875642999999</v>
      </c>
      <c r="G2657" t="n">
        <v>0.1421319768701049</v>
      </c>
      <c r="H2657" t="n">
        <v>0.0235285974961026</v>
      </c>
      <c r="I2657" t="n">
        <v>0.0792249181305705</v>
      </c>
      <c r="J2657" t="n">
        <v>0.4389097409726137</v>
      </c>
      <c r="K2657" t="n">
        <v>0.0742564777029029</v>
      </c>
      <c r="L2657" t="b">
        <v>0</v>
      </c>
      <c r="M2657" t="b">
        <v>0</v>
      </c>
      <c r="N2657" t="inlineStr">
        <is>
          <t>alt</t>
        </is>
      </c>
      <c r="O2657" t="n">
        <v>-85</v>
      </c>
      <c r="P2657" t="n">
        <v>0.001007</v>
      </c>
      <c r="Q2657" t="n">
        <v>-100</v>
      </c>
      <c r="R2657" t="n">
        <v>0.0725</v>
      </c>
      <c r="S2657">
        <f>IMAGE("https://mitra.stanford.edu/kundaje/oak/projects/neuro-variants/variant_position/credible/roussos_2024/variant_figures/roussos_2024.adolescence.Astrocyte/rs6803008_count_position.png",4,220,900)</f>
        <v/>
      </c>
      <c r="T2657">
        <f>IMAGE("https://mitra.stanford.edu/kundaje/oak/projects/neuro-variants/variant_position/credible/roussos_2024/variant_figures/roussos_2024.adolescence.Astrocyte/rs6803008_profile_position.png",4,220,900)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-0.0548231904</v>
      </c>
      <c r="G2658" t="n">
        <v>0.2326044038987606</v>
      </c>
      <c r="H2658" t="n">
        <v>0.0133830850382862</v>
      </c>
      <c r="I2658" t="n">
        <v>0.4396819275172619</v>
      </c>
      <c r="J2658" t="n">
        <v>0.1843834376761712</v>
      </c>
      <c r="K2658" t="n">
        <v>0.2192948365091434</v>
      </c>
      <c r="L2658" t="b">
        <v>0</v>
      </c>
      <c r="M2658" t="b">
        <v>0</v>
      </c>
      <c r="N2658" t="inlineStr">
        <is>
          <t>ref</t>
        </is>
      </c>
      <c r="O2658" t="n">
        <v>100</v>
      </c>
      <c r="P2658" t="n">
        <v>0.05264</v>
      </c>
      <c r="Q2658" t="n">
        <v>100</v>
      </c>
      <c r="R2658" t="n">
        <v>0.332</v>
      </c>
      <c r="S2658">
        <f>IMAGE("https://mitra.stanford.edu/kundaje/oak/projects/neuro-variants/variant_position/credible/roussos_2024/variant_figures/roussos_2024.adolescence.Astrocyte/rs17008723_count_position.png",4,220,900)</f>
        <v/>
      </c>
      <c r="T2658">
        <f>IMAGE("https://mitra.stanford.edu/kundaje/oak/projects/neuro-variants/variant_position/credible/roussos_2024/variant_figures/roussos_2024.adolescence.Astrocyte/rs17008723_profile_position.png",4,220,900)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-0.151907708</v>
      </c>
      <c r="G2659" t="n">
        <v>0.0341688219261718</v>
      </c>
      <c r="H2659" t="n">
        <v>0.0208979177113629</v>
      </c>
      <c r="I2659" t="n">
        <v>0.1199731855855406</v>
      </c>
      <c r="J2659" t="n">
        <v>0.0496713942379016</v>
      </c>
      <c r="K2659" t="n">
        <v>0.4377646488740748</v>
      </c>
      <c r="L2659" t="b">
        <v>0</v>
      </c>
      <c r="M2659" t="b">
        <v>0</v>
      </c>
      <c r="N2659" t="inlineStr">
        <is>
          <t>ref</t>
        </is>
      </c>
      <c r="O2659" t="n">
        <v>-60</v>
      </c>
      <c r="P2659" t="n">
        <v>0.00582</v>
      </c>
      <c r="Q2659" t="n">
        <v>-15</v>
      </c>
      <c r="R2659" t="n">
        <v>0.05444</v>
      </c>
      <c r="S2659">
        <f>IMAGE("https://mitra.stanford.edu/kundaje/oak/projects/neuro-variants/variant_position/credible/roussos_2024/variant_figures/roussos_2024.adolescence.Astrocyte/rs1437046_count_position.png",4,220,900)</f>
        <v/>
      </c>
      <c r="T2659">
        <f>IMAGE("https://mitra.stanford.edu/kundaje/oak/projects/neuro-variants/variant_position/credible/roussos_2024/variant_figures/roussos_2024.adolescence.Astrocyte/rs1437046_profile_position.png",4,220,900)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-0.0232077692999999</v>
      </c>
      <c r="G2660" t="n">
        <v>0.4950269308530406</v>
      </c>
      <c r="H2660" t="n">
        <v>0.0311217312181704</v>
      </c>
      <c r="I2660" t="n">
        <v>0.0268801132688205</v>
      </c>
      <c r="J2660" t="n">
        <v>0.0002737145061269</v>
      </c>
      <c r="K2660" t="n">
        <v>0.9426131565422924</v>
      </c>
      <c r="L2660" t="b">
        <v>0</v>
      </c>
      <c r="M2660" t="b">
        <v>0</v>
      </c>
      <c r="N2660" t="inlineStr">
        <is>
          <t>ref</t>
        </is>
      </c>
      <c r="O2660" t="n">
        <v>-55</v>
      </c>
      <c r="P2660" t="n">
        <v>0.00074</v>
      </c>
      <c r="Q2660" t="n">
        <v>45</v>
      </c>
      <c r="R2660" t="n">
        <v>0.04236</v>
      </c>
      <c r="S2660">
        <f>IMAGE("https://mitra.stanford.edu/kundaje/oak/projects/neuro-variants/variant_position/credible/roussos_2024/variant_figures/roussos_2024.adolescence.Astrocyte/rs678585_count_position.png",4,220,900)</f>
        <v/>
      </c>
      <c r="T2660">
        <f>IMAGE("https://mitra.stanford.edu/kundaje/oak/projects/neuro-variants/variant_position/credible/roussos_2024/variant_figures/roussos_2024.adolescence.Astrocyte/rs678585_profile_position.png",4,220,900)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-0.0005699555</v>
      </c>
      <c r="G2661" t="n">
        <v>0.8002476700981836</v>
      </c>
      <c r="H2661" t="n">
        <v>0.0203907897962195</v>
      </c>
      <c r="I2661" t="n">
        <v>0.1331234160246876</v>
      </c>
      <c r="J2661" t="n">
        <v>0.0406224965136634</v>
      </c>
      <c r="K2661" t="n">
        <v>0.4710432827047457</v>
      </c>
      <c r="L2661" t="b">
        <v>0</v>
      </c>
      <c r="M2661" t="b">
        <v>0</v>
      </c>
      <c r="N2661" t="inlineStr">
        <is>
          <t>ref</t>
        </is>
      </c>
      <c r="O2661" t="n">
        <v>-100</v>
      </c>
      <c r="P2661" t="n">
        <v>0.00524</v>
      </c>
      <c r="Q2661" t="n">
        <v>25</v>
      </c>
      <c r="R2661" t="n">
        <v>0.0216</v>
      </c>
      <c r="S2661">
        <f>IMAGE("https://mitra.stanford.edu/kundaje/oak/projects/neuro-variants/variant_position/credible/roussos_2024/variant_figures/roussos_2024.adolescence.Astrocyte/rs500298_count_position.png",4,220,900)</f>
        <v/>
      </c>
      <c r="T2661">
        <f>IMAGE("https://mitra.stanford.edu/kundaje/oak/projects/neuro-variants/variant_position/credible/roussos_2024/variant_figures/roussos_2024.adolescence.Astrocyte/rs500298_profile_position.png",4,220,900)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0.0746571264</v>
      </c>
      <c r="G2662" t="n">
        <v>0.1292130679847308</v>
      </c>
      <c r="H2662" t="n">
        <v>0.0271576024094554</v>
      </c>
      <c r="I2662" t="n">
        <v>0.0464130510202124</v>
      </c>
      <c r="J2662" t="n">
        <v>0.0023143340355457</v>
      </c>
      <c r="K2662" t="n">
        <v>0.8122874177986568</v>
      </c>
      <c r="L2662" t="b">
        <v>0</v>
      </c>
      <c r="M2662" t="b">
        <v>0</v>
      </c>
      <c r="N2662" t="inlineStr">
        <is>
          <t>alt</t>
        </is>
      </c>
      <c r="O2662" t="n">
        <v>-40</v>
      </c>
      <c r="P2662" t="n">
        <v>0.001419</v>
      </c>
      <c r="Q2662" t="n">
        <v>0</v>
      </c>
      <c r="R2662" t="n">
        <v>0</v>
      </c>
      <c r="S2662">
        <f>IMAGE("https://mitra.stanford.edu/kundaje/oak/projects/neuro-variants/variant_position/credible/roussos_2024/variant_figures/roussos_2024.adolescence.Astrocyte/rs658551_count_position.png",4,220,900)</f>
        <v/>
      </c>
      <c r="T2662">
        <f>IMAGE("https://mitra.stanford.edu/kundaje/oak/projects/neuro-variants/variant_position/credible/roussos_2024/variant_figures/roussos_2024.adolescence.Astrocyte/rs658551_profile_position.png",4,220,900)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0.0175230032799999</v>
      </c>
      <c r="G2663" t="n">
        <v>0.5938086154497905</v>
      </c>
      <c r="H2663" t="n">
        <v>0.016485945025592</v>
      </c>
      <c r="I2663" t="n">
        <v>0.2468980129402751</v>
      </c>
      <c r="J2663" t="n">
        <v>0.027071774026051</v>
      </c>
      <c r="K2663" t="n">
        <v>0.5267713128853287</v>
      </c>
      <c r="L2663" t="b">
        <v>0</v>
      </c>
      <c r="M2663" t="b">
        <v>0</v>
      </c>
      <c r="N2663" t="inlineStr">
        <is>
          <t>alt</t>
        </is>
      </c>
      <c r="O2663" t="n">
        <v>60</v>
      </c>
      <c r="P2663" t="n">
        <v>0.010025</v>
      </c>
      <c r="Q2663" t="n">
        <v>75</v>
      </c>
      <c r="R2663" t="n">
        <v>0.09045</v>
      </c>
      <c r="S2663">
        <f>IMAGE("https://mitra.stanford.edu/kundaje/oak/projects/neuro-variants/variant_position/credible/roussos_2024/variant_figures/roussos_2024.adolescence.Astrocyte/rs627529_count_position.png",4,220,900)</f>
        <v/>
      </c>
      <c r="T2663">
        <f>IMAGE("https://mitra.stanford.edu/kundaje/oak/projects/neuro-variants/variant_position/credible/roussos_2024/variant_figures/roussos_2024.adolescence.Astrocyte/rs627529_profile_position.png",4,220,900)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-0.0570327232</v>
      </c>
      <c r="G2664" t="n">
        <v>0.1952603522919263</v>
      </c>
      <c r="H2664" t="n">
        <v>0.0190980836727117</v>
      </c>
      <c r="I2664" t="n">
        <v>0.1585314350872414</v>
      </c>
      <c r="J2664" t="n">
        <v>0.0259427944099931</v>
      </c>
      <c r="K2664" t="n">
        <v>0.58109049359084</v>
      </c>
      <c r="L2664" t="b">
        <v>0</v>
      </c>
      <c r="M2664" t="b">
        <v>0</v>
      </c>
      <c r="N2664" t="inlineStr">
        <is>
          <t>ref</t>
        </is>
      </c>
      <c r="O2664" t="n">
        <v>10</v>
      </c>
      <c r="P2664" t="n">
        <v>0.000227</v>
      </c>
      <c r="Q2664" t="n">
        <v>-100</v>
      </c>
      <c r="R2664" t="n">
        <v>0.09375</v>
      </c>
      <c r="S2664">
        <f>IMAGE("https://mitra.stanford.edu/kundaje/oak/projects/neuro-variants/variant_position/credible/roussos_2024/variant_figures/roussos_2024.adolescence.Astrocyte/rs7617921_count_position.png",4,220,900)</f>
        <v/>
      </c>
      <c r="T2664">
        <f>IMAGE("https://mitra.stanford.edu/kundaje/oak/projects/neuro-variants/variant_position/credible/roussos_2024/variant_figures/roussos_2024.adolescence.Astrocyte/rs7617921_profile_position.png",4,220,900)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0.00152130124</v>
      </c>
      <c r="G2665" t="n">
        <v>0.8594976701360273</v>
      </c>
      <c r="H2665" t="n">
        <v>0.008199846621512699</v>
      </c>
      <c r="I2665" t="n">
        <v>0.904981407237696</v>
      </c>
      <c r="J2665" t="n">
        <v>0.0058229237753315</v>
      </c>
      <c r="K2665" t="n">
        <v>0.7209258639220508</v>
      </c>
      <c r="L2665" t="b">
        <v>0</v>
      </c>
      <c r="M2665" t="b">
        <v>0</v>
      </c>
      <c r="N2665" t="inlineStr">
        <is>
          <t>alt</t>
        </is>
      </c>
      <c r="O2665" t="n">
        <v>55</v>
      </c>
      <c r="P2665" t="n">
        <v>0.00779</v>
      </c>
      <c r="Q2665" t="n">
        <v>-10</v>
      </c>
      <c r="R2665" t="n">
        <v>0.01831</v>
      </c>
      <c r="S2665">
        <f>IMAGE("https://mitra.stanford.edu/kundaje/oak/projects/neuro-variants/variant_position/credible/roussos_2024/variant_figures/roussos_2024.adolescence.Astrocyte/rs613707_count_position.png",4,220,900)</f>
        <v/>
      </c>
      <c r="T2665">
        <f>IMAGE("https://mitra.stanford.edu/kundaje/oak/projects/neuro-variants/variant_position/credible/roussos_2024/variant_figures/roussos_2024.adolescence.Astrocyte/rs613707_profile_position.png",4,220,900)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-0.08703130000000001</v>
      </c>
      <c r="G2666" t="n">
        <v>0.1045478664323552</v>
      </c>
      <c r="H2666" t="n">
        <v>0.0131466769066477</v>
      </c>
      <c r="I2666" t="n">
        <v>0.4398716979171799</v>
      </c>
      <c r="J2666" t="n">
        <v>0.0012862356466782</v>
      </c>
      <c r="K2666" t="n">
        <v>0.8794069295332511</v>
      </c>
      <c r="L2666" t="b">
        <v>0</v>
      </c>
      <c r="M2666" t="b">
        <v>0</v>
      </c>
      <c r="N2666" t="inlineStr">
        <is>
          <t>ref</t>
        </is>
      </c>
      <c r="O2666" t="n">
        <v>100</v>
      </c>
      <c r="P2666" t="n">
        <v>0.02219</v>
      </c>
      <c r="Q2666" t="n">
        <v>-100</v>
      </c>
      <c r="R2666" t="n">
        <v>0.03503</v>
      </c>
      <c r="S2666">
        <f>IMAGE("https://mitra.stanford.edu/kundaje/oak/projects/neuro-variants/variant_position/credible/roussos_2024/variant_figures/roussos_2024.adolescence.Astrocyte/rs9832758_count_position.png",4,220,900)</f>
        <v/>
      </c>
      <c r="T2666">
        <f>IMAGE("https://mitra.stanford.edu/kundaje/oak/projects/neuro-variants/variant_position/credible/roussos_2024/variant_figures/roussos_2024.adolescence.Astrocyte/rs9832758_profile_position.png",4,220,900)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0.0071751598199999</v>
      </c>
      <c r="G2667" t="n">
        <v>0.7923984760793914</v>
      </c>
      <c r="H2667" t="n">
        <v>0.0148521877489277</v>
      </c>
      <c r="I2667" t="n">
        <v>0.3362308273093635</v>
      </c>
      <c r="J2667" t="n">
        <v>0.0019056167106785</v>
      </c>
      <c r="K2667" t="n">
        <v>0.8266689893732209</v>
      </c>
      <c r="L2667" t="b">
        <v>0</v>
      </c>
      <c r="M2667" t="b">
        <v>0</v>
      </c>
      <c r="N2667" t="inlineStr">
        <is>
          <t>alt</t>
        </is>
      </c>
      <c r="O2667" t="n">
        <v>-10</v>
      </c>
      <c r="P2667" t="n">
        <v>0.000614</v>
      </c>
      <c r="Q2667" t="n">
        <v>-30</v>
      </c>
      <c r="R2667" t="n">
        <v>0.0626</v>
      </c>
      <c r="S2667">
        <f>IMAGE("https://mitra.stanford.edu/kundaje/oak/projects/neuro-variants/variant_position/credible/roussos_2024/variant_figures/roussos_2024.adolescence.Astrocyte/rs7633748_count_position.png",4,220,900)</f>
        <v/>
      </c>
      <c r="T2667">
        <f>IMAGE("https://mitra.stanford.edu/kundaje/oak/projects/neuro-variants/variant_position/credible/roussos_2024/variant_figures/roussos_2024.adolescence.Astrocyte/rs7633748_profile_position.png",4,220,900)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0.27350171</v>
      </c>
      <c r="G2668" t="n">
        <v>0.0104538262203925</v>
      </c>
      <c r="H2668" t="n">
        <v>0.0236672662445528</v>
      </c>
      <c r="I2668" t="n">
        <v>0.09021443653279509</v>
      </c>
      <c r="J2668" t="n">
        <v>0.0098314690086935</v>
      </c>
      <c r="K2668" t="n">
        <v>0.670529456885834</v>
      </c>
      <c r="L2668" t="b">
        <v>1</v>
      </c>
      <c r="M2668" t="b">
        <v>0</v>
      </c>
      <c r="N2668" t="inlineStr">
        <is>
          <t>alt</t>
        </is>
      </c>
      <c r="O2668" t="n">
        <v>45</v>
      </c>
      <c r="P2668" t="n">
        <v>0.00299</v>
      </c>
      <c r="Q2668" t="n">
        <v>100</v>
      </c>
      <c r="R2668" t="n">
        <v>0.02295</v>
      </c>
      <c r="S2668">
        <f>IMAGE("https://mitra.stanford.edu/kundaje/oak/projects/neuro-variants/variant_position/credible/roussos_2024/variant_figures/roussos_2024.adolescence.Astrocyte/rs9865863_count_position.png",4,220,900)</f>
        <v/>
      </c>
      <c r="T2668">
        <f>IMAGE("https://mitra.stanford.edu/kundaje/oak/projects/neuro-variants/variant_position/credible/roussos_2024/variant_figures/roussos_2024.adolescence.Astrocyte/rs9865863_profile_position.png",4,220,900)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0.0211667824</v>
      </c>
      <c r="G2669" t="n">
        <v>0.5204422773519711</v>
      </c>
      <c r="H2669" t="n">
        <v>0.0068989086408539</v>
      </c>
      <c r="I2669" t="n">
        <v>0.9743493959556352</v>
      </c>
      <c r="J2669" t="n">
        <v>0.0101007328724445</v>
      </c>
      <c r="K2669" t="n">
        <v>0.6750540308266236</v>
      </c>
      <c r="L2669" t="b">
        <v>0</v>
      </c>
      <c r="M2669" t="b">
        <v>0</v>
      </c>
      <c r="N2669" t="inlineStr">
        <is>
          <t>alt</t>
        </is>
      </c>
      <c r="O2669" t="n">
        <v>60</v>
      </c>
      <c r="P2669" t="n">
        <v>0.000839</v>
      </c>
      <c r="Q2669" t="n">
        <v>45</v>
      </c>
      <c r="R2669" t="n">
        <v>0.04745</v>
      </c>
      <c r="S2669">
        <f>IMAGE("https://mitra.stanford.edu/kundaje/oak/projects/neuro-variants/variant_position/credible/roussos_2024/variant_figures/roussos_2024.adolescence.Astrocyte/rs9812564_count_position.png",4,220,900)</f>
        <v/>
      </c>
      <c r="T2669">
        <f>IMAGE("https://mitra.stanford.edu/kundaje/oak/projects/neuro-variants/variant_position/credible/roussos_2024/variant_figures/roussos_2024.adolescence.Astrocyte/rs9812564_profile_position.png",4,220,900)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-0.008326452579999999</v>
      </c>
      <c r="G2670" t="n">
        <v>0.7627076960180273</v>
      </c>
      <c r="H2670" t="n">
        <v>0.0256713826272703</v>
      </c>
      <c r="I2670" t="n">
        <v>0.0567011271475689</v>
      </c>
      <c r="J2670" t="n">
        <v>0.0005978696258492001</v>
      </c>
      <c r="K2670" t="n">
        <v>0.9044197424732184</v>
      </c>
      <c r="L2670" t="b">
        <v>0</v>
      </c>
      <c r="M2670" t="b">
        <v>0</v>
      </c>
      <c r="N2670" t="inlineStr">
        <is>
          <t>ref</t>
        </is>
      </c>
      <c r="O2670" t="n">
        <v>-95</v>
      </c>
      <c r="P2670" t="n">
        <v>0.01247</v>
      </c>
      <c r="Q2670" t="n">
        <v>-100</v>
      </c>
      <c r="R2670" t="n">
        <v>0.1415</v>
      </c>
      <c r="S2670">
        <f>IMAGE("https://mitra.stanford.edu/kundaje/oak/projects/neuro-variants/variant_position/credible/roussos_2024/variant_figures/roussos_2024.adolescence.Astrocyte/rs78929026_count_position.png",4,220,900)</f>
        <v/>
      </c>
      <c r="T2670">
        <f>IMAGE("https://mitra.stanford.edu/kundaje/oak/projects/neuro-variants/variant_position/credible/roussos_2024/variant_figures/roussos_2024.adolescence.Astrocyte/rs78929026_profile_position.png",4,220,900)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-0.0715743256</v>
      </c>
      <c r="G2671" t="n">
        <v>0.148713545307033</v>
      </c>
      <c r="H2671" t="n">
        <v>0.0225855843737824</v>
      </c>
      <c r="I2671" t="n">
        <v>0.0898596838522296</v>
      </c>
      <c r="J2671" t="n">
        <v>0.0001884105272527</v>
      </c>
      <c r="K2671" t="n">
        <v>0.9634552931919796</v>
      </c>
      <c r="L2671" t="b">
        <v>0</v>
      </c>
      <c r="M2671" t="b">
        <v>0</v>
      </c>
      <c r="N2671" t="inlineStr">
        <is>
          <t>ref</t>
        </is>
      </c>
      <c r="O2671" t="n">
        <v>-80</v>
      </c>
      <c r="P2671" t="n">
        <v>0.00762</v>
      </c>
      <c r="Q2671" t="n">
        <v>100</v>
      </c>
      <c r="R2671" t="n">
        <v>0.1384</v>
      </c>
      <c r="S2671">
        <f>IMAGE("https://mitra.stanford.edu/kundaje/oak/projects/neuro-variants/variant_position/credible/roussos_2024/variant_figures/roussos_2024.adolescence.Astrocyte/rs9831201_count_position.png",4,220,900)</f>
        <v/>
      </c>
      <c r="T2671">
        <f>IMAGE("https://mitra.stanford.edu/kundaje/oak/projects/neuro-variants/variant_position/credible/roussos_2024/variant_figures/roussos_2024.adolescence.Astrocyte/rs9831201_profile_position.png",4,220,900)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0.00202724926</v>
      </c>
      <c r="G2672" t="n">
        <v>0.7828330600546053</v>
      </c>
      <c r="H2672" t="n">
        <v>0.0461126135378059</v>
      </c>
      <c r="I2672" t="n">
        <v>0.0054442781948714</v>
      </c>
      <c r="J2672" t="n">
        <v>6.082544580601134e-05</v>
      </c>
      <c r="K2672" t="n">
        <v>0.990551002221275</v>
      </c>
      <c r="L2672" t="b">
        <v>0</v>
      </c>
      <c r="M2672" t="b">
        <v>0</v>
      </c>
      <c r="N2672" t="inlineStr">
        <is>
          <t>alt</t>
        </is>
      </c>
      <c r="O2672" t="n">
        <v>-5</v>
      </c>
      <c r="P2672" t="n">
        <v>0.0003357</v>
      </c>
      <c r="Q2672" t="n">
        <v>60</v>
      </c>
      <c r="R2672" t="n">
        <v>0.138</v>
      </c>
      <c r="S2672">
        <f>IMAGE("https://mitra.stanford.edu/kundaje/oak/projects/neuro-variants/variant_position/credible/roussos_2024/variant_figures/roussos_2024.adolescence.Astrocyte/rs9839468_count_position.png",4,220,900)</f>
        <v/>
      </c>
      <c r="T2672">
        <f>IMAGE("https://mitra.stanford.edu/kundaje/oak/projects/neuro-variants/variant_position/credible/roussos_2024/variant_figures/roussos_2024.adolescence.Astrocyte/rs9839468_profile_position.png",4,220,900)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-0.032005099</v>
      </c>
      <c r="G2673" t="n">
        <v>0.3647381044179272</v>
      </c>
      <c r="H2673" t="n">
        <v>0.0158665357772674</v>
      </c>
      <c r="I2673" t="n">
        <v>0.2775803560379953</v>
      </c>
      <c r="J2673" t="n">
        <v>0.09407100258137251</v>
      </c>
      <c r="K2673" t="n">
        <v>0.336209076362286</v>
      </c>
      <c r="L2673" t="b">
        <v>0</v>
      </c>
      <c r="M2673" t="b">
        <v>0</v>
      </c>
      <c r="N2673" t="inlineStr">
        <is>
          <t>ref</t>
        </is>
      </c>
      <c r="O2673" t="n">
        <v>100</v>
      </c>
      <c r="P2673" t="n">
        <v>0.01193</v>
      </c>
      <c r="Q2673" t="n">
        <v>100</v>
      </c>
      <c r="R2673" t="n">
        <v>0.11884</v>
      </c>
      <c r="S2673">
        <f>IMAGE("https://mitra.stanford.edu/kundaje/oak/projects/neuro-variants/variant_position/credible/roussos_2024/variant_figures/roussos_2024.adolescence.Astrocyte/rs2679046_count_position.png",4,220,900)</f>
        <v/>
      </c>
      <c r="T2673">
        <f>IMAGE("https://mitra.stanford.edu/kundaje/oak/projects/neuro-variants/variant_position/credible/roussos_2024/variant_figures/roussos_2024.adolescence.Astrocyte/rs2679046_profile_position.png",4,220,900)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0.0409846274999999</v>
      </c>
      <c r="G2674" t="n">
        <v>0.3567905923023696</v>
      </c>
      <c r="H2674" t="n">
        <v>0.009431307963466799</v>
      </c>
      <c r="I2674" t="n">
        <v>0.7869851956061019</v>
      </c>
      <c r="J2674" t="n">
        <v>0.0006000949470372</v>
      </c>
      <c r="K2674" t="n">
        <v>0.9093134963951798</v>
      </c>
      <c r="L2674" t="b">
        <v>0</v>
      </c>
      <c r="M2674" t="b">
        <v>0</v>
      </c>
      <c r="N2674" t="inlineStr">
        <is>
          <t>alt</t>
        </is>
      </c>
      <c r="O2674" t="n">
        <v>85</v>
      </c>
      <c r="P2674" t="n">
        <v>0.005264</v>
      </c>
      <c r="Q2674" t="n">
        <v>-80</v>
      </c>
      <c r="R2674" t="n">
        <v>0.0497</v>
      </c>
      <c r="S2674">
        <f>IMAGE("https://mitra.stanford.edu/kundaje/oak/projects/neuro-variants/variant_position/credible/roussos_2024/variant_figures/roussos_2024.adolescence.Astrocyte/rs2679042_count_position.png",4,220,900)</f>
        <v/>
      </c>
      <c r="T2674">
        <f>IMAGE("https://mitra.stanford.edu/kundaje/oak/projects/neuro-variants/variant_position/credible/roussos_2024/variant_figures/roussos_2024.adolescence.Astrocyte/rs2679042_profile_position.png",4,220,900)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0.0264045540999999</v>
      </c>
      <c r="G2675" t="n">
        <v>0.435245399559471</v>
      </c>
      <c r="H2675" t="n">
        <v>0.0250787933501803</v>
      </c>
      <c r="I2675" t="n">
        <v>0.0621128663979953</v>
      </c>
      <c r="J2675" t="n">
        <v>0.0039885173426697</v>
      </c>
      <c r="K2675" t="n">
        <v>0.7788788134100392</v>
      </c>
      <c r="L2675" t="b">
        <v>0</v>
      </c>
      <c r="M2675" t="b">
        <v>0</v>
      </c>
      <c r="N2675" t="inlineStr">
        <is>
          <t>alt</t>
        </is>
      </c>
      <c r="O2675" t="n">
        <v>25</v>
      </c>
      <c r="P2675" t="n">
        <v>0.001123</v>
      </c>
      <c r="Q2675" t="n">
        <v>90</v>
      </c>
      <c r="R2675" t="n">
        <v>0.1232</v>
      </c>
      <c r="S2675">
        <f>IMAGE("https://mitra.stanford.edu/kundaje/oak/projects/neuro-variants/variant_position/credible/roussos_2024/variant_figures/roussos_2024.adolescence.Astrocyte/rs2372667_count_position.png",4,220,900)</f>
        <v/>
      </c>
      <c r="T2675">
        <f>IMAGE("https://mitra.stanford.edu/kundaje/oak/projects/neuro-variants/variant_position/credible/roussos_2024/variant_figures/roussos_2024.adolescence.Astrocyte/rs2372667_profile_position.png",4,220,900)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-0.1006325509999999</v>
      </c>
      <c r="G2676" t="n">
        <v>0.0819326516692889</v>
      </c>
      <c r="H2676" t="n">
        <v>0.0242356840070038</v>
      </c>
      <c r="I2676" t="n">
        <v>0.070534291797065</v>
      </c>
      <c r="J2676" t="n">
        <v>0.1204863068569563</v>
      </c>
      <c r="K2676" t="n">
        <v>0.2922755242543745</v>
      </c>
      <c r="L2676" t="b">
        <v>0</v>
      </c>
      <c r="M2676" t="b">
        <v>0</v>
      </c>
      <c r="N2676" t="inlineStr">
        <is>
          <t>ref</t>
        </is>
      </c>
      <c r="O2676" t="n">
        <v>-95</v>
      </c>
      <c r="P2676" t="n">
        <v>0.01836</v>
      </c>
      <c r="Q2676" t="n">
        <v>80</v>
      </c>
      <c r="R2676" t="n">
        <v>0.1423</v>
      </c>
      <c r="S2676">
        <f>IMAGE("https://mitra.stanford.edu/kundaje/oak/projects/neuro-variants/variant_position/credible/roussos_2024/variant_figures/roussos_2024.adolescence.Astrocyte/rs2250739_count_position.png",4,220,900)</f>
        <v/>
      </c>
      <c r="T2676">
        <f>IMAGE("https://mitra.stanford.edu/kundaje/oak/projects/neuro-variants/variant_position/credible/roussos_2024/variant_figures/roussos_2024.adolescence.Astrocyte/rs2250739_profile_position.png",4,220,900)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-0.03480770714</v>
      </c>
      <c r="G2677" t="n">
        <v>0.3875843449815621</v>
      </c>
      <c r="H2677" t="n">
        <v>0.0141930187231199</v>
      </c>
      <c r="I2677" t="n">
        <v>0.3701429402703545</v>
      </c>
      <c r="J2677" t="n">
        <v>0.0072864433433225</v>
      </c>
      <c r="K2677" t="n">
        <v>0.7212354152864556</v>
      </c>
      <c r="L2677" t="b">
        <v>0</v>
      </c>
      <c r="M2677" t="b">
        <v>0</v>
      </c>
      <c r="N2677" t="inlineStr">
        <is>
          <t>ref</t>
        </is>
      </c>
      <c r="O2677" t="n">
        <v>90</v>
      </c>
      <c r="P2677" t="n">
        <v>0.00206</v>
      </c>
      <c r="Q2677" t="n">
        <v>0</v>
      </c>
      <c r="R2677" t="n">
        <v>0</v>
      </c>
      <c r="S2677">
        <f>IMAGE("https://mitra.stanford.edu/kundaje/oak/projects/neuro-variants/variant_position/credible/roussos_2024/variant_figures/roussos_2024.adolescence.Astrocyte/rs2639255_count_position.png",4,220,900)</f>
        <v/>
      </c>
      <c r="T2677">
        <f>IMAGE("https://mitra.stanford.edu/kundaje/oak/projects/neuro-variants/variant_position/credible/roussos_2024/variant_figures/roussos_2024.adolescence.Astrocyte/rs2639255_profile_position.png",4,220,900)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-0.00688864266</v>
      </c>
      <c r="G2678" t="n">
        <v>0.5985726413048084</v>
      </c>
      <c r="H2678" t="n">
        <v>0.0334014420753804</v>
      </c>
      <c r="I2678" t="n">
        <v>0.0202598140465605</v>
      </c>
      <c r="J2678" t="n">
        <v>0.0013314838441681</v>
      </c>
      <c r="K2678" t="n">
        <v>0.8741308208578957</v>
      </c>
      <c r="L2678" t="b">
        <v>0</v>
      </c>
      <c r="M2678" t="b">
        <v>0</v>
      </c>
      <c r="N2678" t="inlineStr">
        <is>
          <t>ref</t>
        </is>
      </c>
      <c r="O2678" t="n">
        <v>100</v>
      </c>
      <c r="P2678" t="n">
        <v>0.000801</v>
      </c>
      <c r="Q2678" t="n">
        <v>5</v>
      </c>
      <c r="R2678" t="n">
        <v>0.006683</v>
      </c>
      <c r="S2678">
        <f>IMAGE("https://mitra.stanford.edu/kundaje/oak/projects/neuro-variants/variant_position/credible/roussos_2024/variant_figures/roussos_2024.adolescence.Astrocyte/rs2639254_count_position.png",4,220,900)</f>
        <v/>
      </c>
      <c r="T2678">
        <f>IMAGE("https://mitra.stanford.edu/kundaje/oak/projects/neuro-variants/variant_position/credible/roussos_2024/variant_figures/roussos_2024.adolescence.Astrocyte/rs2639254_profile_position.png",4,220,900)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-0.0294518272</v>
      </c>
      <c r="G2679" t="n">
        <v>0.1606030897033891</v>
      </c>
      <c r="H2679" t="n">
        <v>0.0341604783880768</v>
      </c>
      <c r="I2679" t="n">
        <v>0.0239133680463838</v>
      </c>
      <c r="J2679" t="n">
        <v>0.0126872978666587</v>
      </c>
      <c r="K2679" t="n">
        <v>0.6441455668091008</v>
      </c>
      <c r="L2679" t="b">
        <v>0</v>
      </c>
      <c r="M2679" t="b">
        <v>0</v>
      </c>
      <c r="N2679" t="inlineStr">
        <is>
          <t>ref</t>
        </is>
      </c>
      <c r="O2679" t="n">
        <v>75</v>
      </c>
      <c r="P2679" t="n">
        <v>0.003937</v>
      </c>
      <c r="Q2679" t="n">
        <v>-15</v>
      </c>
      <c r="R2679" t="n">
        <v>0.008545000000000001</v>
      </c>
      <c r="S2679">
        <f>IMAGE("https://mitra.stanford.edu/kundaje/oak/projects/neuro-variants/variant_position/credible/roussos_2024/variant_figures/roussos_2024.adolescence.Astrocyte/rs2639213_count_position.png",4,220,900)</f>
        <v/>
      </c>
      <c r="T2679">
        <f>IMAGE("https://mitra.stanford.edu/kundaje/oak/projects/neuro-variants/variant_position/credible/roussos_2024/variant_figures/roussos_2024.adolescence.Astrocyte/rs2639213_profile_position.png",4,220,900)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0.1308265519999999</v>
      </c>
      <c r="G2680" t="n">
        <v>0.0484725985812867</v>
      </c>
      <c r="H2680" t="n">
        <v>0.0189070841697741</v>
      </c>
      <c r="I2680" t="n">
        <v>0.1665167905245632</v>
      </c>
      <c r="J2680" t="n">
        <v>0.4655067798118861</v>
      </c>
      <c r="K2680" t="n">
        <v>0.0661754850958801</v>
      </c>
      <c r="L2680" t="b">
        <v>0</v>
      </c>
      <c r="M2680" t="b">
        <v>0</v>
      </c>
      <c r="N2680" t="inlineStr">
        <is>
          <t>alt</t>
        </is>
      </c>
      <c r="O2680" t="n">
        <v>-100</v>
      </c>
      <c r="P2680" t="n">
        <v>0.00412</v>
      </c>
      <c r="Q2680" t="n">
        <v>-35</v>
      </c>
      <c r="R2680" t="n">
        <v>0.0337</v>
      </c>
      <c r="S2680">
        <f>IMAGE("https://mitra.stanford.edu/kundaje/oak/projects/neuro-variants/variant_position/credible/roussos_2024/variant_figures/roussos_2024.adolescence.Astrocyte/rs7644809_count_position.png",4,220,900)</f>
        <v/>
      </c>
      <c r="T2680">
        <f>IMAGE("https://mitra.stanford.edu/kundaje/oak/projects/neuro-variants/variant_position/credible/roussos_2024/variant_figures/roussos_2024.adolescence.Astrocyte/rs7644809_profile_position.png",4,220,900)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0.00667081954</v>
      </c>
      <c r="G2681" t="n">
        <v>0.5240976710736018</v>
      </c>
      <c r="H2681" t="n">
        <v>0.0105434032027979</v>
      </c>
      <c r="I2681" t="n">
        <v>0.7004404143479472</v>
      </c>
      <c r="J2681" t="n">
        <v>0.004975076402694</v>
      </c>
      <c r="K2681" t="n">
        <v>0.7353325854732183</v>
      </c>
      <c r="L2681" t="b">
        <v>0</v>
      </c>
      <c r="M2681" t="b">
        <v>0</v>
      </c>
      <c r="N2681" t="inlineStr">
        <is>
          <t>alt</t>
        </is>
      </c>
      <c r="O2681" t="n">
        <v>5</v>
      </c>
      <c r="P2681" t="n">
        <v>0.0003548</v>
      </c>
      <c r="Q2681" t="n">
        <v>-45</v>
      </c>
      <c r="R2681" t="n">
        <v>0.10254</v>
      </c>
      <c r="S2681">
        <f>IMAGE("https://mitra.stanford.edu/kundaje/oak/projects/neuro-variants/variant_position/credible/roussos_2024/variant_figures/roussos_2024.adolescence.Astrocyte/rs3206652_count_position.png",4,220,900)</f>
        <v/>
      </c>
      <c r="T2681">
        <f>IMAGE("https://mitra.stanford.edu/kundaje/oak/projects/neuro-variants/variant_position/credible/roussos_2024/variant_figures/roussos_2024.adolescence.Astrocyte/rs3206652_profile_position.png",4,220,900)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-0.0112003871199999</v>
      </c>
      <c r="G2682" t="n">
        <v>0.7241887350319471</v>
      </c>
      <c r="H2682" t="n">
        <v>0.0303236852379002</v>
      </c>
      <c r="I2682" t="n">
        <v>0.030336962655963</v>
      </c>
      <c r="J2682" t="n">
        <v>0.0036428507847965</v>
      </c>
      <c r="K2682" t="n">
        <v>0.7740125579358914</v>
      </c>
      <c r="L2682" t="b">
        <v>0</v>
      </c>
      <c r="M2682" t="b">
        <v>0</v>
      </c>
      <c r="N2682" t="inlineStr">
        <is>
          <t>ref</t>
        </is>
      </c>
      <c r="O2682" t="n">
        <v>-75</v>
      </c>
      <c r="P2682" t="n">
        <v>0.01246</v>
      </c>
      <c r="Q2682" t="n">
        <v>-80</v>
      </c>
      <c r="R2682" t="n">
        <v>0.11285</v>
      </c>
      <c r="S2682">
        <f>IMAGE("https://mitra.stanford.edu/kundaje/oak/projects/neuro-variants/variant_position/credible/roussos_2024/variant_figures/roussos_2024.adolescence.Astrocyte/rs3804638_count_position.png",4,220,900)</f>
        <v/>
      </c>
      <c r="T2682">
        <f>IMAGE("https://mitra.stanford.edu/kundaje/oak/projects/neuro-variants/variant_position/credible/roussos_2024/variant_figures/roussos_2024.adolescence.Astrocyte/rs3804638_profile_position.png",4,220,900)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0.00572712618</v>
      </c>
      <c r="G2683" t="n">
        <v>0.8270070254884744</v>
      </c>
      <c r="H2683" t="n">
        <v>0.008505994714429799</v>
      </c>
      <c r="I2683" t="n">
        <v>0.8957890376983795</v>
      </c>
      <c r="J2683" t="n">
        <v>0.1201302554668723</v>
      </c>
      <c r="K2683" t="n">
        <v>0.2948202903820285</v>
      </c>
      <c r="L2683" t="b">
        <v>0</v>
      </c>
      <c r="M2683" t="b">
        <v>0</v>
      </c>
      <c r="N2683" t="inlineStr">
        <is>
          <t>alt</t>
        </is>
      </c>
      <c r="O2683" t="n">
        <v>100</v>
      </c>
      <c r="P2683" t="n">
        <v>0.00615</v>
      </c>
      <c r="Q2683" t="n">
        <v>90</v>
      </c>
      <c r="R2683" t="n">
        <v>0.07543999999999999</v>
      </c>
      <c r="S2683">
        <f>IMAGE("https://mitra.stanford.edu/kundaje/oak/projects/neuro-variants/variant_position/credible/roussos_2024/variant_figures/roussos_2024.adolescence.Astrocyte/rs7628325_count_position.png",4,220,900)</f>
        <v/>
      </c>
      <c r="T2683">
        <f>IMAGE("https://mitra.stanford.edu/kundaje/oak/projects/neuro-variants/variant_position/credible/roussos_2024/variant_figures/roussos_2024.adolescence.Astrocyte/rs7628325_profile_position.png",4,220,900)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0.01945111228</v>
      </c>
      <c r="G2684" t="n">
        <v>0.5262218975117527</v>
      </c>
      <c r="H2684" t="n">
        <v>0.0205650847750844</v>
      </c>
      <c r="I2684" t="n">
        <v>0.1240122945153902</v>
      </c>
      <c r="J2684" t="n">
        <v>0.348775331572857</v>
      </c>
      <c r="K2684" t="n">
        <v>0.1095144426990146</v>
      </c>
      <c r="L2684" t="b">
        <v>0</v>
      </c>
      <c r="M2684" t="b">
        <v>0</v>
      </c>
      <c r="N2684" t="inlineStr">
        <is>
          <t>alt</t>
        </is>
      </c>
      <c r="O2684" t="n">
        <v>75</v>
      </c>
      <c r="P2684" t="n">
        <v>0.01138</v>
      </c>
      <c r="Q2684" t="n">
        <v>-90</v>
      </c>
      <c r="R2684" t="n">
        <v>0.08935999999999999</v>
      </c>
      <c r="S2684">
        <f>IMAGE("https://mitra.stanford.edu/kundaje/oak/projects/neuro-variants/variant_position/credible/roussos_2024/variant_figures/roussos_2024.adolescence.Astrocyte/rs34910554_count_position.png",4,220,900)</f>
        <v/>
      </c>
      <c r="T2684">
        <f>IMAGE("https://mitra.stanford.edu/kundaje/oak/projects/neuro-variants/variant_position/credible/roussos_2024/variant_figures/roussos_2024.adolescence.Astrocyte/rs34910554_profile_position.png",4,220,900)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-0.1346598288</v>
      </c>
      <c r="G2685" t="n">
        <v>0.0460595651055585</v>
      </c>
      <c r="H2685" t="n">
        <v>0.022474199964982</v>
      </c>
      <c r="I2685" t="n">
        <v>0.09246529765120449</v>
      </c>
      <c r="J2685" t="n">
        <v>0.426439782808652</v>
      </c>
      <c r="K2685" t="n">
        <v>0.0782124488180572</v>
      </c>
      <c r="L2685" t="b">
        <v>0</v>
      </c>
      <c r="M2685" t="b">
        <v>0</v>
      </c>
      <c r="N2685" t="inlineStr">
        <is>
          <t>ref</t>
        </is>
      </c>
      <c r="O2685" t="n">
        <v>-100</v>
      </c>
      <c r="P2685" t="n">
        <v>0.06510000000000001</v>
      </c>
      <c r="Q2685" t="n">
        <v>-95</v>
      </c>
      <c r="R2685" t="n">
        <v>0.4993</v>
      </c>
      <c r="S2685">
        <f>IMAGE("https://mitra.stanford.edu/kundaje/oak/projects/neuro-variants/variant_position/credible/roussos_2024/variant_figures/roussos_2024.adolescence.Astrocyte/rs17231503_count_position.png",4,220,900)</f>
        <v/>
      </c>
      <c r="T2685">
        <f>IMAGE("https://mitra.stanford.edu/kundaje/oak/projects/neuro-variants/variant_position/credible/roussos_2024/variant_figures/roussos_2024.adolescence.Astrocyte/rs17231503_profile_position.png",4,220,900)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0.0130870092</v>
      </c>
      <c r="G2686" t="n">
        <v>0.4521879802122568</v>
      </c>
      <c r="H2686" t="n">
        <v>0.0112091288026999</v>
      </c>
      <c r="I2686" t="n">
        <v>0.6281439616103697</v>
      </c>
      <c r="J2686" t="n">
        <v>0.0657352461205233</v>
      </c>
      <c r="K2686" t="n">
        <v>0.396372954587269</v>
      </c>
      <c r="L2686" t="b">
        <v>0</v>
      </c>
      <c r="M2686" t="b">
        <v>0</v>
      </c>
      <c r="N2686" t="inlineStr">
        <is>
          <t>alt</t>
        </is>
      </c>
      <c r="O2686" t="n">
        <v>-100</v>
      </c>
      <c r="P2686" t="n">
        <v>0.002853</v>
      </c>
      <c r="Q2686" t="n">
        <v>50</v>
      </c>
      <c r="R2686" t="n">
        <v>0.1162</v>
      </c>
      <c r="S2686">
        <f>IMAGE("https://mitra.stanford.edu/kundaje/oak/projects/neuro-variants/variant_position/credible/roussos_2024/variant_figures/roussos_2024.adolescence.Astrocyte/rs326361_count_position.png",4,220,900)</f>
        <v/>
      </c>
      <c r="T2686">
        <f>IMAGE("https://mitra.stanford.edu/kundaje/oak/projects/neuro-variants/variant_position/credible/roussos_2024/variant_figures/roussos_2024.adolescence.Astrocyte/rs326361_profile_position.png",4,220,900)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0.0597955203999999</v>
      </c>
      <c r="G2687" t="n">
        <v>0.1805563517860685</v>
      </c>
      <c r="H2687" t="n">
        <v>0.0093507008644416</v>
      </c>
      <c r="I2687" t="n">
        <v>0.7838141262298873</v>
      </c>
      <c r="J2687" t="n">
        <v>0.0002930006230898</v>
      </c>
      <c r="K2687" t="n">
        <v>0.941245993203582</v>
      </c>
      <c r="L2687" t="b">
        <v>0</v>
      </c>
      <c r="M2687" t="b">
        <v>0</v>
      </c>
      <c r="N2687" t="inlineStr">
        <is>
          <t>alt</t>
        </is>
      </c>
      <c r="O2687" t="n">
        <v>75</v>
      </c>
      <c r="P2687" t="n">
        <v>0.02441</v>
      </c>
      <c r="Q2687" t="n">
        <v>0</v>
      </c>
      <c r="R2687" t="n">
        <v>0</v>
      </c>
      <c r="S2687">
        <f>IMAGE("https://mitra.stanford.edu/kundaje/oak/projects/neuro-variants/variant_position/credible/roussos_2024/variant_figures/roussos_2024.adolescence.Astrocyte/rs60140727_count_position.png",4,220,900)</f>
        <v/>
      </c>
      <c r="T2687">
        <f>IMAGE("https://mitra.stanford.edu/kundaje/oak/projects/neuro-variants/variant_position/credible/roussos_2024/variant_figures/roussos_2024.adolescence.Astrocyte/rs60140727_profile_position.png",4,220,900)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0.011462368568</v>
      </c>
      <c r="G2688" t="n">
        <v>0.6944134975512394</v>
      </c>
      <c r="H2688" t="n">
        <v>0.0213204618031851</v>
      </c>
      <c r="I2688" t="n">
        <v>0.1103608014902187</v>
      </c>
      <c r="J2688" t="n">
        <v>0.0056842120879446</v>
      </c>
      <c r="K2688" t="n">
        <v>0.7288023050982982</v>
      </c>
      <c r="L2688" t="b">
        <v>0</v>
      </c>
      <c r="M2688" t="b">
        <v>0</v>
      </c>
      <c r="N2688" t="inlineStr">
        <is>
          <t>alt</t>
        </is>
      </c>
      <c r="O2688" t="n">
        <v>40</v>
      </c>
      <c r="P2688" t="n">
        <v>0.01657</v>
      </c>
      <c r="Q2688" t="n">
        <v>60</v>
      </c>
      <c r="R2688" t="n">
        <v>0.0791</v>
      </c>
      <c r="S2688">
        <f>IMAGE("https://mitra.stanford.edu/kundaje/oak/projects/neuro-variants/variant_position/credible/roussos_2024/variant_figures/roussos_2024.adolescence.Astrocyte/rs10514750_count_position.png",4,220,900)</f>
        <v/>
      </c>
      <c r="T2688">
        <f>IMAGE("https://mitra.stanford.edu/kundaje/oak/projects/neuro-variants/variant_position/credible/roussos_2024/variant_figures/roussos_2024.adolescence.Astrocyte/rs10514750_profile_position.png",4,220,900)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0.178148312</v>
      </c>
      <c r="G2689" t="n">
        <v>0.024189660486248</v>
      </c>
      <c r="H2689" t="n">
        <v>0.0197289497567987</v>
      </c>
      <c r="I2689" t="n">
        <v>0.1429158223269489</v>
      </c>
      <c r="J2689" t="n">
        <v>0.08059890810907031</v>
      </c>
      <c r="K2689" t="n">
        <v>0.3621840979370528</v>
      </c>
      <c r="L2689" t="b">
        <v>0</v>
      </c>
      <c r="M2689" t="b">
        <v>0</v>
      </c>
      <c r="N2689" t="inlineStr">
        <is>
          <t>alt</t>
        </is>
      </c>
      <c r="O2689" t="n">
        <v>55</v>
      </c>
      <c r="P2689" t="n">
        <v>0.05</v>
      </c>
      <c r="Q2689" t="n">
        <v>40</v>
      </c>
      <c r="R2689" t="n">
        <v>0.1694</v>
      </c>
      <c r="S2689">
        <f>IMAGE("https://mitra.stanford.edu/kundaje/oak/projects/neuro-variants/variant_position/credible/roussos_2024/variant_figures/roussos_2024.adolescence.Astrocyte/rs11926978_count_position.png",4,220,900)</f>
        <v/>
      </c>
      <c r="T2689">
        <f>IMAGE("https://mitra.stanford.edu/kundaje/oak/projects/neuro-variants/variant_position/credible/roussos_2024/variant_figures/roussos_2024.adolescence.Astrocyte/rs11926978_profile_position.png",4,220,900)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0.1582856032</v>
      </c>
      <c r="G2690" t="n">
        <v>0.0345706294106749</v>
      </c>
      <c r="H2690" t="n">
        <v>0.0285755807255459</v>
      </c>
      <c r="I2690" t="n">
        <v>0.0390695070449821</v>
      </c>
      <c r="J2690" t="n">
        <v>0.09901937512981029</v>
      </c>
      <c r="K2690" t="n">
        <v>0.3311427056128103</v>
      </c>
      <c r="L2690" t="b">
        <v>0</v>
      </c>
      <c r="M2690" t="b">
        <v>0</v>
      </c>
      <c r="N2690" t="inlineStr">
        <is>
          <t>alt</t>
        </is>
      </c>
      <c r="O2690" t="n">
        <v>-10</v>
      </c>
      <c r="P2690" t="n">
        <v>0.005615</v>
      </c>
      <c r="Q2690" t="n">
        <v>-25</v>
      </c>
      <c r="R2690" t="n">
        <v>0.08057</v>
      </c>
      <c r="S2690">
        <f>IMAGE("https://mitra.stanford.edu/kundaje/oak/projects/neuro-variants/variant_position/credible/roussos_2024/variant_figures/roussos_2024.adolescence.Astrocyte/rs11919348_count_position.png",4,220,900)</f>
        <v/>
      </c>
      <c r="T2690">
        <f>IMAGE("https://mitra.stanford.edu/kundaje/oak/projects/neuro-variants/variant_position/credible/roussos_2024/variant_figures/roussos_2024.adolescence.Astrocyte/rs11919348_profile_position.png",4,220,900)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-0.0443399908</v>
      </c>
      <c r="G2691" t="n">
        <v>0.2934327997745709</v>
      </c>
      <c r="H2691" t="n">
        <v>0.0110090203208468</v>
      </c>
      <c r="I2691" t="n">
        <v>0.645006793534042</v>
      </c>
      <c r="J2691" t="n">
        <v>0.0402723793134141</v>
      </c>
      <c r="K2691" t="n">
        <v>0.4748806397255443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0.02554</v>
      </c>
      <c r="Q2691" t="n">
        <v>95</v>
      </c>
      <c r="R2691" t="n">
        <v>0.1257</v>
      </c>
      <c r="S2691">
        <f>IMAGE("https://mitra.stanford.edu/kundaje/oak/projects/neuro-variants/variant_position/credible/roussos_2024/variant_figures/roussos_2024.adolescence.Astrocyte/rs62264146_count_position.png",4,220,900)</f>
        <v/>
      </c>
      <c r="T2691">
        <f>IMAGE("https://mitra.stanford.edu/kundaje/oak/projects/neuro-variants/variant_position/credible/roussos_2024/variant_figures/roussos_2024.adolescence.Astrocyte/rs62264146_profile_position.png",4,220,900)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0.1005751279999999</v>
      </c>
      <c r="G2692" t="n">
        <v>0.0771268343762633</v>
      </c>
      <c r="H2692" t="n">
        <v>0.0150566539381161</v>
      </c>
      <c r="I2692" t="n">
        <v>0.3204404217605607</v>
      </c>
      <c r="J2692" t="n">
        <v>0.0292985787615345</v>
      </c>
      <c r="K2692" t="n">
        <v>0.5244023569830069</v>
      </c>
      <c r="L2692" t="b">
        <v>0</v>
      </c>
      <c r="M2692" t="b">
        <v>0</v>
      </c>
      <c r="N2692" t="inlineStr">
        <is>
          <t>alt</t>
        </is>
      </c>
      <c r="O2692" t="n">
        <v>-10</v>
      </c>
      <c r="P2692" t="n">
        <v>0.002075</v>
      </c>
      <c r="Q2692" t="n">
        <v>-100</v>
      </c>
      <c r="R2692" t="n">
        <v>0.03192</v>
      </c>
      <c r="S2692">
        <f>IMAGE("https://mitra.stanford.edu/kundaje/oak/projects/neuro-variants/variant_position/credible/roussos_2024/variant_figures/roussos_2024.adolescence.Astrocyte/rs2035_count_position.png",4,220,900)</f>
        <v/>
      </c>
      <c r="T2692">
        <f>IMAGE("https://mitra.stanford.edu/kundaje/oak/projects/neuro-variants/variant_position/credible/roussos_2024/variant_figures/roussos_2024.adolescence.Astrocyte/rs2035_profile_position.png",4,220,900)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0.0130964603</v>
      </c>
      <c r="G2693" t="n">
        <v>0.6062657285906415</v>
      </c>
      <c r="H2693" t="n">
        <v>0.0303211105403845</v>
      </c>
      <c r="I2693" t="n">
        <v>0.0302640315441929</v>
      </c>
      <c r="J2693" t="n">
        <v>0.0019345458861228</v>
      </c>
      <c r="K2693" t="n">
        <v>0.8303532661334094</v>
      </c>
      <c r="L2693" t="b">
        <v>0</v>
      </c>
      <c r="M2693" t="b">
        <v>0</v>
      </c>
      <c r="N2693" t="inlineStr">
        <is>
          <t>alt</t>
        </is>
      </c>
      <c r="O2693" t="n">
        <v>-5</v>
      </c>
      <c r="P2693" t="n">
        <v>0.002167</v>
      </c>
      <c r="Q2693" t="n">
        <v>-65</v>
      </c>
      <c r="R2693" t="n">
        <v>0.04114</v>
      </c>
      <c r="S2693">
        <f>IMAGE("https://mitra.stanford.edu/kundaje/oak/projects/neuro-variants/variant_position/credible/roussos_2024/variant_figures/roussos_2024.adolescence.Astrocyte/rs28494587_count_position.png",4,220,900)</f>
        <v/>
      </c>
      <c r="T2693">
        <f>IMAGE("https://mitra.stanford.edu/kundaje/oak/projects/neuro-variants/variant_position/credible/roussos_2024/variant_figures/roussos_2024.adolescence.Astrocyte/rs28494587_profile_position.png",4,220,900)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0.0499037124</v>
      </c>
      <c r="G2694" t="n">
        <v>0.2287364913683722</v>
      </c>
      <c r="H2694" t="n">
        <v>0.0176100099240165</v>
      </c>
      <c r="I2694" t="n">
        <v>0.2043002900466134</v>
      </c>
      <c r="J2694" t="n">
        <v>0.081469008693588</v>
      </c>
      <c r="K2694" t="n">
        <v>0.3575868738992266</v>
      </c>
      <c r="L2694" t="b">
        <v>0</v>
      </c>
      <c r="M2694" t="b">
        <v>0</v>
      </c>
      <c r="N2694" t="inlineStr">
        <is>
          <t>alt</t>
        </is>
      </c>
      <c r="O2694" t="n">
        <v>-80</v>
      </c>
      <c r="P2694" t="n">
        <v>0.01724</v>
      </c>
      <c r="Q2694" t="n">
        <v>-100</v>
      </c>
      <c r="R2694" t="n">
        <v>0.2101</v>
      </c>
      <c r="S2694">
        <f>IMAGE("https://mitra.stanford.edu/kundaje/oak/projects/neuro-variants/variant_position/credible/roussos_2024/variant_figures/roussos_2024.adolescence.Astrocyte/rs2305551_count_position.png",4,220,900)</f>
        <v/>
      </c>
      <c r="T2694">
        <f>IMAGE("https://mitra.stanford.edu/kundaje/oak/projects/neuro-variants/variant_position/credible/roussos_2024/variant_figures/roussos_2024.adolescence.Astrocyte/rs2305551_profile_position.png",4,220,900)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-0.0196872562</v>
      </c>
      <c r="G2695" t="n">
        <v>0.3795910916299264</v>
      </c>
      <c r="H2695" t="n">
        <v>0.0328539055252102</v>
      </c>
      <c r="I2695" t="n">
        <v>0.0215134375398156</v>
      </c>
      <c r="J2695" t="n">
        <v>0.0005414948224193</v>
      </c>
      <c r="K2695" t="n">
        <v>0.9186036982583394</v>
      </c>
      <c r="L2695" t="b">
        <v>0</v>
      </c>
      <c r="M2695" t="b">
        <v>0</v>
      </c>
      <c r="N2695" t="inlineStr">
        <is>
          <t>ref</t>
        </is>
      </c>
      <c r="O2695" t="n">
        <v>5</v>
      </c>
      <c r="P2695" t="n">
        <v>0.0001869</v>
      </c>
      <c r="Q2695" t="n">
        <v>95</v>
      </c>
      <c r="R2695" t="n">
        <v>0.2163</v>
      </c>
      <c r="S2695">
        <f>IMAGE("https://mitra.stanford.edu/kundaje/oak/projects/neuro-variants/variant_position/credible/roussos_2024/variant_figures/roussos_2024.adolescence.Astrocyte/rs9826261_count_position.png",4,220,900)</f>
        <v/>
      </c>
      <c r="T2695">
        <f>IMAGE("https://mitra.stanford.edu/kundaje/oak/projects/neuro-variants/variant_position/credible/roussos_2024/variant_figures/roussos_2024.adolescence.Astrocyte/rs9826261_profile_position.png",4,220,900)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-0.0803287134</v>
      </c>
      <c r="G2696" t="n">
        <v>0.1315305629938405</v>
      </c>
      <c r="H2696" t="n">
        <v>0.0209605404174738</v>
      </c>
      <c r="I2696" t="n">
        <v>0.1192240238403652</v>
      </c>
      <c r="J2696" t="n">
        <v>0.0005607809393821</v>
      </c>
      <c r="K2696" t="n">
        <v>0.9204033681331092</v>
      </c>
      <c r="L2696" t="b">
        <v>0</v>
      </c>
      <c r="M2696" t="b">
        <v>0</v>
      </c>
      <c r="N2696" t="inlineStr">
        <is>
          <t>ref</t>
        </is>
      </c>
      <c r="O2696" t="n">
        <v>-20</v>
      </c>
      <c r="P2696" t="n">
        <v>0.008240000000000001</v>
      </c>
      <c r="Q2696" t="n">
        <v>50</v>
      </c>
      <c r="R2696" t="n">
        <v>0.02173</v>
      </c>
      <c r="S2696">
        <f>IMAGE("https://mitra.stanford.edu/kundaje/oak/projects/neuro-variants/variant_position/credible/roussos_2024/variant_figures/roussos_2024.adolescence.Astrocyte/rs9830118_count_position.png",4,220,900)</f>
        <v/>
      </c>
      <c r="T2696">
        <f>IMAGE("https://mitra.stanford.edu/kundaje/oak/projects/neuro-variants/variant_position/credible/roussos_2024/variant_figures/roussos_2024.adolescence.Astrocyte/rs9830118_profile_position.png",4,220,900)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-0.1010266193999999</v>
      </c>
      <c r="G2697" t="n">
        <v>0.1004588908337644</v>
      </c>
      <c r="H2697" t="n">
        <v>0.0116749447020621</v>
      </c>
      <c r="I2697" t="n">
        <v>0.5873002293836961</v>
      </c>
      <c r="J2697" t="n">
        <v>0.0047829570067945</v>
      </c>
      <c r="K2697" t="n">
        <v>0.7461131436365098</v>
      </c>
      <c r="L2697" t="b">
        <v>0</v>
      </c>
      <c r="M2697" t="b">
        <v>0</v>
      </c>
      <c r="N2697" t="inlineStr">
        <is>
          <t>ref</t>
        </is>
      </c>
      <c r="O2697" t="n">
        <v>-15</v>
      </c>
      <c r="P2697" t="n">
        <v>0.0007515</v>
      </c>
      <c r="Q2697" t="n">
        <v>85</v>
      </c>
      <c r="R2697" t="n">
        <v>0.05298</v>
      </c>
      <c r="S2697">
        <f>IMAGE("https://mitra.stanford.edu/kundaje/oak/projects/neuro-variants/variant_position/credible/roussos_2024/variant_figures/roussos_2024.adolescence.Astrocyte/rs11928715_count_position.png",4,220,900)</f>
        <v/>
      </c>
      <c r="T2697">
        <f>IMAGE("https://mitra.stanford.edu/kundaje/oak/projects/neuro-variants/variant_position/credible/roussos_2024/variant_figures/roussos_2024.adolescence.Astrocyte/rs11928715_profile_position.png",4,220,900)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-0.02559541438</v>
      </c>
      <c r="G2698" t="n">
        <v>0.4714052046200367</v>
      </c>
      <c r="H2698" t="n">
        <v>0.0292174457916934</v>
      </c>
      <c r="I2698" t="n">
        <v>0.0348775093095515</v>
      </c>
      <c r="J2698" t="n">
        <v>0.0045619084354508</v>
      </c>
      <c r="K2698" t="n">
        <v>0.752184538515858</v>
      </c>
      <c r="L2698" t="b">
        <v>0</v>
      </c>
      <c r="M2698" t="b">
        <v>0</v>
      </c>
      <c r="N2698" t="inlineStr">
        <is>
          <t>ref</t>
        </is>
      </c>
      <c r="O2698" t="n">
        <v>-75</v>
      </c>
      <c r="P2698" t="n">
        <v>0.00242</v>
      </c>
      <c r="Q2698" t="n">
        <v>0</v>
      </c>
      <c r="R2698" t="n">
        <v>0</v>
      </c>
      <c r="S2698">
        <f>IMAGE("https://mitra.stanford.edu/kundaje/oak/projects/neuro-variants/variant_position/credible/roussos_2024/variant_figures/roussos_2024.adolescence.Astrocyte/rs11917405_count_position.png",4,220,900)</f>
        <v/>
      </c>
      <c r="T2698">
        <f>IMAGE("https://mitra.stanford.edu/kundaje/oak/projects/neuro-variants/variant_position/credible/roussos_2024/variant_figures/roussos_2024.adolescence.Astrocyte/rs11917405_profile_position.png",4,220,900)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0.290890588</v>
      </c>
      <c r="G2699" t="n">
        <v>0.006731526041471</v>
      </c>
      <c r="H2699" t="n">
        <v>0.046088798008985</v>
      </c>
      <c r="I2699" t="n">
        <v>0.0055199195401182</v>
      </c>
      <c r="J2699" t="n">
        <v>0.0177321009999109</v>
      </c>
      <c r="K2699" t="n">
        <v>0.590947188492803</v>
      </c>
      <c r="L2699" t="b">
        <v>1</v>
      </c>
      <c r="M2699" t="b">
        <v>1</v>
      </c>
      <c r="N2699" t="inlineStr">
        <is>
          <t>alt</t>
        </is>
      </c>
      <c r="O2699" t="n">
        <v>95</v>
      </c>
      <c r="P2699" t="n">
        <v>0.04828</v>
      </c>
      <c r="Q2699" t="n">
        <v>-65</v>
      </c>
      <c r="R2699" t="n">
        <v>0.3054</v>
      </c>
      <c r="S2699">
        <f>IMAGE("https://mitra.stanford.edu/kundaje/oak/projects/neuro-variants/variant_position/credible/roussos_2024/variant_figures/roussos_2024.adolescence.Astrocyte/rs11921090_count_position.png",4,220,900)</f>
        <v/>
      </c>
      <c r="T2699">
        <f>IMAGE("https://mitra.stanford.edu/kundaje/oak/projects/neuro-variants/variant_position/credible/roussos_2024/variant_figures/roussos_2024.adolescence.Astrocyte/rs11921090_profile_position.png",4,220,900)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-0.1082166476</v>
      </c>
      <c r="G2700" t="n">
        <v>0.0801397570987946</v>
      </c>
      <c r="H2700" t="n">
        <v>0.0126257654776911</v>
      </c>
      <c r="I2700" t="n">
        <v>0.4986787595365512</v>
      </c>
      <c r="J2700" t="n">
        <v>0.0137161380292554</v>
      </c>
      <c r="K2700" t="n">
        <v>0.6338494288657214</v>
      </c>
      <c r="L2700" t="b">
        <v>0</v>
      </c>
      <c r="M2700" t="b">
        <v>0</v>
      </c>
      <c r="N2700" t="inlineStr">
        <is>
          <t>ref</t>
        </is>
      </c>
      <c r="O2700" t="n">
        <v>-100</v>
      </c>
      <c r="P2700" t="n">
        <v>0.01071</v>
      </c>
      <c r="Q2700" t="n">
        <v>-30</v>
      </c>
      <c r="R2700" t="n">
        <v>0.04272</v>
      </c>
      <c r="S2700">
        <f>IMAGE("https://mitra.stanford.edu/kundaje/oak/projects/neuro-variants/variant_position/credible/roussos_2024/variant_figures/roussos_2024.adolescence.Astrocyte/rs17829242_count_position.png",4,220,900)</f>
        <v/>
      </c>
      <c r="T2700">
        <f>IMAGE("https://mitra.stanford.edu/kundaje/oak/projects/neuro-variants/variant_position/credible/roussos_2024/variant_figures/roussos_2024.adolescence.Astrocyte/rs17829242_profile_position.png",4,220,900)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-0.223076742</v>
      </c>
      <c r="G2701" t="n">
        <v>0.0160957900869508</v>
      </c>
      <c r="H2701" t="n">
        <v>0.0320601472102525</v>
      </c>
      <c r="I2701" t="n">
        <v>0.0265065910879576</v>
      </c>
      <c r="J2701" t="n">
        <v>0.0009939767973175999</v>
      </c>
      <c r="K2701" t="n">
        <v>0.8761861677636458</v>
      </c>
      <c r="L2701" t="b">
        <v>1</v>
      </c>
      <c r="M2701" t="b">
        <v>0</v>
      </c>
      <c r="N2701" t="inlineStr">
        <is>
          <t>ref</t>
        </is>
      </c>
      <c r="O2701" t="n">
        <v>100</v>
      </c>
      <c r="P2701" t="n">
        <v>0.007637</v>
      </c>
      <c r="Q2701" t="n">
        <v>90</v>
      </c>
      <c r="R2701" t="n">
        <v>0.06555</v>
      </c>
      <c r="S2701">
        <f>IMAGE("https://mitra.stanford.edu/kundaje/oak/projects/neuro-variants/variant_position/credible/roussos_2024/variant_figures/roussos_2024.adolescence.Astrocyte/rs28377152_count_position.png",4,220,900)</f>
        <v/>
      </c>
      <c r="T2701">
        <f>IMAGE("https://mitra.stanford.edu/kundaje/oak/projects/neuro-variants/variant_position/credible/roussos_2024/variant_figures/roussos_2024.adolescence.Astrocyte/rs28377152_profile_position.png",4,220,900)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0.00210797886</v>
      </c>
      <c r="G2702" t="n">
        <v>0.5590479784704199</v>
      </c>
      <c r="H2702" t="n">
        <v>0.0104607433330259</v>
      </c>
      <c r="I2702" t="n">
        <v>0.7153445262032716</v>
      </c>
      <c r="J2702" t="n">
        <v>0.0210159332997062</v>
      </c>
      <c r="K2702" t="n">
        <v>0.5711216640933072</v>
      </c>
      <c r="L2702" t="b">
        <v>0</v>
      </c>
      <c r="M2702" t="b">
        <v>0</v>
      </c>
      <c r="N2702" t="inlineStr">
        <is>
          <t>alt</t>
        </is>
      </c>
      <c r="O2702" t="n">
        <v>90</v>
      </c>
      <c r="P2702" t="n">
        <v>0.1044</v>
      </c>
      <c r="Q2702" t="n">
        <v>75</v>
      </c>
      <c r="R2702" t="n">
        <v>0.1367</v>
      </c>
      <c r="S2702">
        <f>IMAGE("https://mitra.stanford.edu/kundaje/oak/projects/neuro-variants/variant_position/credible/roussos_2024/variant_figures/roussos_2024.adolescence.Astrocyte/rs11917750_count_position.png",4,220,900)</f>
        <v/>
      </c>
      <c r="T2702">
        <f>IMAGE("https://mitra.stanford.edu/kundaje/oak/projects/neuro-variants/variant_position/credible/roussos_2024/variant_figures/roussos_2024.adolescence.Astrocyte/rs11917750_profile_position.png",4,220,900)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-0.0117449633548</v>
      </c>
      <c r="G2703" t="n">
        <v>0.7008684137839151</v>
      </c>
      <c r="H2703" t="n">
        <v>0.0207268514093074</v>
      </c>
      <c r="I2703" t="n">
        <v>0.1204489325997493</v>
      </c>
      <c r="J2703" t="n">
        <v>0.0249970329050825</v>
      </c>
      <c r="K2703" t="n">
        <v>0.5472797893922078</v>
      </c>
      <c r="L2703" t="b">
        <v>0</v>
      </c>
      <c r="M2703" t="b">
        <v>0</v>
      </c>
      <c r="N2703" t="inlineStr">
        <is>
          <t>ref</t>
        </is>
      </c>
      <c r="O2703" t="n">
        <v>65</v>
      </c>
      <c r="P2703" t="n">
        <v>0.00476</v>
      </c>
      <c r="Q2703" t="n">
        <v>-25</v>
      </c>
      <c r="R2703" t="n">
        <v>0.047</v>
      </c>
      <c r="S2703">
        <f>IMAGE("https://mitra.stanford.edu/kundaje/oak/projects/neuro-variants/variant_position/credible/roussos_2024/variant_figures/roussos_2024.adolescence.Astrocyte/rs723271_count_position.png",4,220,900)</f>
        <v/>
      </c>
      <c r="T2703">
        <f>IMAGE("https://mitra.stanford.edu/kundaje/oak/projects/neuro-variants/variant_position/credible/roussos_2024/variant_figures/roussos_2024.adolescence.Astrocyte/rs723271_profile_position.png",4,220,900)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0.042731471</v>
      </c>
      <c r="G2704" t="n">
        <v>0.2822619312049806</v>
      </c>
      <c r="H2704" t="n">
        <v>0.0231237814303111</v>
      </c>
      <c r="I2704" t="n">
        <v>0.0850243007647334</v>
      </c>
      <c r="J2704" t="n">
        <v>0.0204677625137227</v>
      </c>
      <c r="K2704" t="n">
        <v>0.5689952698480002</v>
      </c>
      <c r="L2704" t="b">
        <v>0</v>
      </c>
      <c r="M2704" t="b">
        <v>0</v>
      </c>
      <c r="N2704" t="inlineStr">
        <is>
          <t>alt</t>
        </is>
      </c>
      <c r="O2704" t="n">
        <v>-90</v>
      </c>
      <c r="P2704" t="n">
        <v>0.01848</v>
      </c>
      <c r="Q2704" t="n">
        <v>-90</v>
      </c>
      <c r="R2704" t="n">
        <v>0.1879</v>
      </c>
      <c r="S2704">
        <f>IMAGE("https://mitra.stanford.edu/kundaje/oak/projects/neuro-variants/variant_position/credible/roussos_2024/variant_figures/roussos_2024.adolescence.Astrocyte/rs7610003_count_position.png",4,220,900)</f>
        <v/>
      </c>
      <c r="T2704">
        <f>IMAGE("https://mitra.stanford.edu/kundaje/oak/projects/neuro-variants/variant_position/credible/roussos_2024/variant_figures/roussos_2024.adolescence.Astrocyte/rs7610003_profile_position.png",4,220,900)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0.0438010868</v>
      </c>
      <c r="G2705" t="n">
        <v>0.2870736950884542</v>
      </c>
      <c r="H2705" t="n">
        <v>0.012435923293349</v>
      </c>
      <c r="I2705" t="n">
        <v>0.5157691869195227</v>
      </c>
      <c r="J2705" t="n">
        <v>0.0147917099368008</v>
      </c>
      <c r="K2705" t="n">
        <v>0.6151722755058324</v>
      </c>
      <c r="L2705" t="b">
        <v>0</v>
      </c>
      <c r="M2705" t="b">
        <v>0</v>
      </c>
      <c r="N2705" t="inlineStr">
        <is>
          <t>alt</t>
        </is>
      </c>
      <c r="O2705" t="n">
        <v>0</v>
      </c>
      <c r="P2705" t="n">
        <v>0</v>
      </c>
      <c r="Q2705" t="n">
        <v>100</v>
      </c>
      <c r="R2705" t="n">
        <v>0.1426</v>
      </c>
      <c r="S2705">
        <f>IMAGE("https://mitra.stanford.edu/kundaje/oak/projects/neuro-variants/variant_position/credible/roussos_2024/variant_figures/roussos_2024.adolescence.Astrocyte/rs7632036_count_position.png",4,220,900)</f>
        <v/>
      </c>
      <c r="T2705">
        <f>IMAGE("https://mitra.stanford.edu/kundaje/oak/projects/neuro-variants/variant_position/credible/roussos_2024/variant_figures/roussos_2024.adolescence.Astrocyte/rs7632036_profile_position.png",4,220,900)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-0.00722943462</v>
      </c>
      <c r="G2706" t="n">
        <v>0.8102986206894947</v>
      </c>
      <c r="H2706" t="n">
        <v>0.023310394503147</v>
      </c>
      <c r="I2706" t="n">
        <v>0.0813234548579672</v>
      </c>
      <c r="J2706" t="n">
        <v>0.0008782600955403</v>
      </c>
      <c r="K2706" t="n">
        <v>0.8876828755683882</v>
      </c>
      <c r="L2706" t="b">
        <v>0</v>
      </c>
      <c r="M2706" t="b">
        <v>0</v>
      </c>
      <c r="N2706" t="inlineStr">
        <is>
          <t>ref</t>
        </is>
      </c>
      <c r="O2706" t="n">
        <v>100</v>
      </c>
      <c r="P2706" t="n">
        <v>0.005554</v>
      </c>
      <c r="Q2706" t="n">
        <v>-70</v>
      </c>
      <c r="R2706" t="n">
        <v>0.04895</v>
      </c>
      <c r="S2706">
        <f>IMAGE("https://mitra.stanford.edu/kundaje/oak/projects/neuro-variants/variant_position/credible/roussos_2024/variant_figures/roussos_2024.adolescence.Astrocyte/rs11915212_count_position.png",4,220,900)</f>
        <v/>
      </c>
      <c r="T2706">
        <f>IMAGE("https://mitra.stanford.edu/kundaje/oak/projects/neuro-variants/variant_position/credible/roussos_2024/variant_figures/roussos_2024.adolescence.Astrocyte/rs11915212_profile_position.png",4,220,900)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0.0149650314859999</v>
      </c>
      <c r="G2707" t="n">
        <v>0.6032722312405896</v>
      </c>
      <c r="H2707" t="n">
        <v>0.0284569449525784</v>
      </c>
      <c r="I2707" t="n">
        <v>0.0388199856524611</v>
      </c>
      <c r="J2707" t="n">
        <v>0.0036814230187223</v>
      </c>
      <c r="K2707" t="n">
        <v>0.7757669244860378</v>
      </c>
      <c r="L2707" t="b">
        <v>0</v>
      </c>
      <c r="M2707" t="b">
        <v>0</v>
      </c>
      <c r="N2707" t="inlineStr">
        <is>
          <t>alt</t>
        </is>
      </c>
      <c r="O2707" t="n">
        <v>0</v>
      </c>
      <c r="P2707" t="n">
        <v>0</v>
      </c>
      <c r="Q2707" t="n">
        <v>95</v>
      </c>
      <c r="R2707" t="n">
        <v>0.0445</v>
      </c>
      <c r="S2707">
        <f>IMAGE("https://mitra.stanford.edu/kundaje/oak/projects/neuro-variants/variant_position/credible/roussos_2024/variant_figures/roussos_2024.adolescence.Astrocyte/rs11915231_count_position.png",4,220,900)</f>
        <v/>
      </c>
      <c r="T2707">
        <f>IMAGE("https://mitra.stanford.edu/kundaje/oak/projects/neuro-variants/variant_position/credible/roussos_2024/variant_figures/roussos_2024.adolescence.Astrocyte/rs11915231_profile_position.png",4,220,900)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-0.2063625607999999</v>
      </c>
      <c r="G2708" t="n">
        <v>0.0314394093214517</v>
      </c>
      <c r="H2708" t="n">
        <v>0.0829990818419175</v>
      </c>
      <c r="I2708" t="n">
        <v>0.0013843066302147</v>
      </c>
      <c r="J2708" t="n">
        <v>0.1122578108773699</v>
      </c>
      <c r="K2708" t="n">
        <v>0.3049893033306247</v>
      </c>
      <c r="L2708" t="b">
        <v>1</v>
      </c>
      <c r="M2708" t="b">
        <v>1</v>
      </c>
      <c r="N2708" t="inlineStr">
        <is>
          <t>ref</t>
        </is>
      </c>
      <c r="O2708" t="n">
        <v>-70</v>
      </c>
      <c r="P2708" t="n">
        <v>0.014404</v>
      </c>
      <c r="Q2708" t="n">
        <v>-100</v>
      </c>
      <c r="R2708" t="n">
        <v>0.1733</v>
      </c>
      <c r="S2708">
        <f>IMAGE("https://mitra.stanford.edu/kundaje/oak/projects/neuro-variants/variant_position/credible/roussos_2024/variant_figures/roussos_2024.adolescence.Astrocyte/rs9818755_count_position.png",4,220,900)</f>
        <v/>
      </c>
      <c r="T2708">
        <f>IMAGE("https://mitra.stanford.edu/kundaje/oak/projects/neuro-variants/variant_position/credible/roussos_2024/variant_figures/roussos_2024.adolescence.Astrocyte/rs9818755_profile_position.png",4,220,900)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-0.08225406659999999</v>
      </c>
      <c r="G2709" t="n">
        <v>0.1303394038681002</v>
      </c>
      <c r="H2709" t="n">
        <v>0.0246083513985993</v>
      </c>
      <c r="I2709" t="n">
        <v>0.0690274082024764</v>
      </c>
      <c r="J2709" t="n">
        <v>0.0077737886834999</v>
      </c>
      <c r="K2709" t="n">
        <v>0.6987135183230088</v>
      </c>
      <c r="L2709" t="b">
        <v>0</v>
      </c>
      <c r="M2709" t="b">
        <v>0</v>
      </c>
      <c r="N2709" t="inlineStr">
        <is>
          <t>ref</t>
        </is>
      </c>
      <c r="O2709" t="n">
        <v>-95</v>
      </c>
      <c r="P2709" t="n">
        <v>0.004852</v>
      </c>
      <c r="Q2709" t="n">
        <v>40</v>
      </c>
      <c r="R2709" t="n">
        <v>0.10944</v>
      </c>
      <c r="S2709">
        <f>IMAGE("https://mitra.stanford.edu/kundaje/oak/projects/neuro-variants/variant_position/credible/roussos_2024/variant_figures/roussos_2024.adolescence.Astrocyte/rs7647452_count_position.png",4,220,900)</f>
        <v/>
      </c>
      <c r="T2709">
        <f>IMAGE("https://mitra.stanford.edu/kundaje/oak/projects/neuro-variants/variant_position/credible/roussos_2024/variant_figures/roussos_2024.adolescence.Astrocyte/rs7647452_profile_position.png",4,220,900)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0.01863417274</v>
      </c>
      <c r="G2710" t="n">
        <v>0.4841262471689975</v>
      </c>
      <c r="H2710" t="n">
        <v>0.0119242779403872</v>
      </c>
      <c r="I2710" t="n">
        <v>0.5549461403123745</v>
      </c>
      <c r="J2710" t="n">
        <v>0.0133296739162685</v>
      </c>
      <c r="K2710" t="n">
        <v>0.6214208891994099</v>
      </c>
      <c r="L2710" t="b">
        <v>0</v>
      </c>
      <c r="M2710" t="b">
        <v>0</v>
      </c>
      <c r="N2710" t="inlineStr">
        <is>
          <t>alt</t>
        </is>
      </c>
      <c r="O2710" t="n">
        <v>-90</v>
      </c>
      <c r="P2710" t="n">
        <v>0.0039</v>
      </c>
      <c r="Q2710" t="n">
        <v>10</v>
      </c>
      <c r="R2710" t="n">
        <v>0.01099</v>
      </c>
      <c r="S2710">
        <f>IMAGE("https://mitra.stanford.edu/kundaje/oak/projects/neuro-variants/variant_position/credible/roussos_2024/variant_figures/roussos_2024.adolescence.Astrocyte/rs17829536_count_position.png",4,220,900)</f>
        <v/>
      </c>
      <c r="T2710">
        <f>IMAGE("https://mitra.stanford.edu/kundaje/oak/projects/neuro-variants/variant_position/credible/roussos_2024/variant_figures/roussos_2024.adolescence.Astrocyte/rs17829536_profile_position.png",4,220,900)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-0.294455868</v>
      </c>
      <c r="G2711" t="n">
        <v>0.0087741479769644</v>
      </c>
      <c r="H2711" t="n">
        <v>0.0356622819661773</v>
      </c>
      <c r="I2711" t="n">
        <v>0.0188296676655689</v>
      </c>
      <c r="J2711" t="n">
        <v>0.0326031807257513</v>
      </c>
      <c r="K2711" t="n">
        <v>0.5023137355871087</v>
      </c>
      <c r="L2711" t="b">
        <v>1</v>
      </c>
      <c r="M2711" t="b">
        <v>1</v>
      </c>
      <c r="N2711" t="inlineStr">
        <is>
          <t>ref</t>
        </is>
      </c>
      <c r="O2711" t="n">
        <v>85</v>
      </c>
      <c r="P2711" t="n">
        <v>0.02777</v>
      </c>
      <c r="Q2711" t="n">
        <v>-45</v>
      </c>
      <c r="R2711" t="n">
        <v>0.02734</v>
      </c>
      <c r="S2711">
        <f>IMAGE("https://mitra.stanford.edu/kundaje/oak/projects/neuro-variants/variant_position/credible/roussos_2024/variant_figures/roussos_2024.adolescence.Astrocyte/rs10514752_count_position.png",4,220,900)</f>
        <v/>
      </c>
      <c r="T2711">
        <f>IMAGE("https://mitra.stanford.edu/kundaje/oak/projects/neuro-variants/variant_position/credible/roussos_2024/variant_figures/roussos_2024.adolescence.Astrocyte/rs10514752_profile_position.png",4,220,900)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0.0766968682</v>
      </c>
      <c r="G2712" t="n">
        <v>0.1330937910465806</v>
      </c>
      <c r="H2712" t="n">
        <v>0.0109008808991734</v>
      </c>
      <c r="I2712" t="n">
        <v>0.6648474552944946</v>
      </c>
      <c r="J2712" t="n">
        <v>0.0292399786369165</v>
      </c>
      <c r="K2712" t="n">
        <v>0.5182691948388778</v>
      </c>
      <c r="L2712" t="b">
        <v>0</v>
      </c>
      <c r="M2712" t="b">
        <v>0</v>
      </c>
      <c r="N2712" t="inlineStr">
        <is>
          <t>alt</t>
        </is>
      </c>
      <c r="O2712" t="n">
        <v>-100</v>
      </c>
      <c r="P2712" t="n">
        <v>0.01469</v>
      </c>
      <c r="Q2712" t="n">
        <v>25</v>
      </c>
      <c r="R2712" t="n">
        <v>0.01062</v>
      </c>
      <c r="S2712">
        <f>IMAGE("https://mitra.stanford.edu/kundaje/oak/projects/neuro-variants/variant_position/credible/roussos_2024/variant_figures/roussos_2024.adolescence.Astrocyte/rs72933710_count_position.png",4,220,900)</f>
        <v/>
      </c>
      <c r="T2712">
        <f>IMAGE("https://mitra.stanford.edu/kundaje/oak/projects/neuro-variants/variant_position/credible/roussos_2024/variant_figures/roussos_2024.adolescence.Astrocyte/rs72933710_profile_position.png",4,220,900)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0.0677244788</v>
      </c>
      <c r="G2713" t="n">
        <v>0.1580594255770107</v>
      </c>
      <c r="H2713" t="n">
        <v>0.0139565806443305</v>
      </c>
      <c r="I2713" t="n">
        <v>0.3902927761127103</v>
      </c>
      <c r="J2713" t="n">
        <v>0.008532623208616299</v>
      </c>
      <c r="K2713" t="n">
        <v>0.6855164648873949</v>
      </c>
      <c r="L2713" t="b">
        <v>0</v>
      </c>
      <c r="M2713" t="b">
        <v>0</v>
      </c>
      <c r="N2713" t="inlineStr">
        <is>
          <t>alt</t>
        </is>
      </c>
      <c r="O2713" t="n">
        <v>-35</v>
      </c>
      <c r="P2713" t="n">
        <v>0.04672</v>
      </c>
      <c r="Q2713" t="n">
        <v>95</v>
      </c>
      <c r="R2713" t="n">
        <v>0.1744</v>
      </c>
      <c r="S2713">
        <f>IMAGE("https://mitra.stanford.edu/kundaje/oak/projects/neuro-variants/variant_position/credible/roussos_2024/variant_figures/roussos_2024.adolescence.Astrocyte/rs13433942_count_position.png",4,220,900)</f>
        <v/>
      </c>
      <c r="T2713">
        <f>IMAGE("https://mitra.stanford.edu/kundaje/oak/projects/neuro-variants/variant_position/credible/roussos_2024/variant_figures/roussos_2024.adolescence.Astrocyte/rs13433942_profile_position.png",4,220,900)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-0.011802025</v>
      </c>
      <c r="G2714" t="n">
        <v>0.7230287095880565</v>
      </c>
      <c r="H2714" t="n">
        <v>0.0250426319050329</v>
      </c>
      <c r="I2714" t="n">
        <v>0.06258248410673289</v>
      </c>
      <c r="J2714" t="n">
        <v>0.0107497848856184</v>
      </c>
      <c r="K2714" t="n">
        <v>0.6511450769739622</v>
      </c>
      <c r="L2714" t="b">
        <v>0</v>
      </c>
      <c r="M2714" t="b">
        <v>0</v>
      </c>
      <c r="N2714" t="inlineStr">
        <is>
          <t>ref</t>
        </is>
      </c>
      <c r="O2714" t="n">
        <v>-75</v>
      </c>
      <c r="P2714" t="n">
        <v>0.012054</v>
      </c>
      <c r="Q2714" t="n">
        <v>-80</v>
      </c>
      <c r="R2714" t="n">
        <v>0.3198</v>
      </c>
      <c r="S2714">
        <f>IMAGE("https://mitra.stanford.edu/kundaje/oak/projects/neuro-variants/variant_position/credible/roussos_2024/variant_figures/roussos_2024.adolescence.Astrocyte/rs9816413_count_position.png",4,220,900)</f>
        <v/>
      </c>
      <c r="T2714">
        <f>IMAGE("https://mitra.stanford.edu/kundaje/oak/projects/neuro-variants/variant_position/credible/roussos_2024/variant_figures/roussos_2024.adolescence.Astrocyte/rs9816413_profile_position.png",4,220,900)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-0.09539057200000001</v>
      </c>
      <c r="G2715" t="n">
        <v>0.0946727054304639</v>
      </c>
      <c r="H2715" t="n">
        <v>0.0118430477129003</v>
      </c>
      <c r="I2715" t="n">
        <v>0.5673344323476059</v>
      </c>
      <c r="J2715" t="n">
        <v>0.0104004094590985</v>
      </c>
      <c r="K2715" t="n">
        <v>0.6524552788191473</v>
      </c>
      <c r="L2715" t="b">
        <v>0</v>
      </c>
      <c r="M2715" t="b">
        <v>0</v>
      </c>
      <c r="N2715" t="inlineStr">
        <is>
          <t>ref</t>
        </is>
      </c>
      <c r="O2715" t="n">
        <v>-100</v>
      </c>
      <c r="P2715" t="n">
        <v>0.01511</v>
      </c>
      <c r="Q2715" t="n">
        <v>45</v>
      </c>
      <c r="R2715" t="n">
        <v>0.0619</v>
      </c>
      <c r="S2715">
        <f>IMAGE("https://mitra.stanford.edu/kundaje/oak/projects/neuro-variants/variant_position/credible/roussos_2024/variant_figures/roussos_2024.adolescence.Astrocyte/rs17239988_count_position.png",4,220,900)</f>
        <v/>
      </c>
      <c r="T2715">
        <f>IMAGE("https://mitra.stanford.edu/kundaje/oak/projects/neuro-variants/variant_position/credible/roussos_2024/variant_figures/roussos_2024.adolescence.Astrocyte/rs17239988_profile_position.png",4,220,900)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0.0311246046</v>
      </c>
      <c r="G2716" t="n">
        <v>0.3369355958436812</v>
      </c>
      <c r="H2716" t="n">
        <v>0.0136937805897449</v>
      </c>
      <c r="I2716" t="n">
        <v>0.4127133560260354</v>
      </c>
      <c r="J2716" t="n">
        <v>0.009832210782422799</v>
      </c>
      <c r="K2716" t="n">
        <v>0.6624571557652781</v>
      </c>
      <c r="L2716" t="b">
        <v>0</v>
      </c>
      <c r="M2716" t="b">
        <v>0</v>
      </c>
      <c r="N2716" t="inlineStr">
        <is>
          <t>alt</t>
        </is>
      </c>
      <c r="O2716" t="n">
        <v>85</v>
      </c>
      <c r="P2716" t="n">
        <v>0.00702</v>
      </c>
      <c r="Q2716" t="n">
        <v>100</v>
      </c>
      <c r="R2716" t="n">
        <v>0.2009</v>
      </c>
      <c r="S2716">
        <f>IMAGE("https://mitra.stanford.edu/kundaje/oak/projects/neuro-variants/variant_position/credible/roussos_2024/variant_figures/roussos_2024.adolescence.Astrocyte/rs9859939_count_position.png",4,220,900)</f>
        <v/>
      </c>
      <c r="T2716">
        <f>IMAGE("https://mitra.stanford.edu/kundaje/oak/projects/neuro-variants/variant_position/credible/roussos_2024/variant_figures/roussos_2024.adolescence.Astrocyte/rs9859939_profile_position.png",4,220,900)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0.0270116741</v>
      </c>
      <c r="G2717" t="n">
        <v>0.4341434853524804</v>
      </c>
      <c r="H2717" t="n">
        <v>0.0128970872847713</v>
      </c>
      <c r="I2717" t="n">
        <v>0.4717391378626193</v>
      </c>
      <c r="J2717" t="n">
        <v>0.0045730350413909</v>
      </c>
      <c r="K2717" t="n">
        <v>0.7526409647345706</v>
      </c>
      <c r="L2717" t="b">
        <v>0</v>
      </c>
      <c r="M2717" t="b">
        <v>0</v>
      </c>
      <c r="N2717" t="inlineStr">
        <is>
          <t>alt</t>
        </is>
      </c>
      <c r="O2717" t="n">
        <v>-10</v>
      </c>
      <c r="P2717" t="n">
        <v>0.0006256</v>
      </c>
      <c r="Q2717" t="n">
        <v>-100</v>
      </c>
      <c r="R2717" t="n">
        <v>0.1036</v>
      </c>
      <c r="S2717">
        <f>IMAGE("https://mitra.stanford.edu/kundaje/oak/projects/neuro-variants/variant_position/credible/roussos_2024/variant_figures/roussos_2024.adolescence.Astrocyte/rs13323116_count_position.png",4,220,900)</f>
        <v/>
      </c>
      <c r="T2717">
        <f>IMAGE("https://mitra.stanford.edu/kundaje/oak/projects/neuro-variants/variant_position/credible/roussos_2024/variant_figures/roussos_2024.adolescence.Astrocyte/rs13323116_profile_position.png",4,220,900)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-0.1553982922</v>
      </c>
      <c r="G2718" t="n">
        <v>0.0454826485891427</v>
      </c>
      <c r="H2718" t="n">
        <v>0.0166167618784978</v>
      </c>
      <c r="I2718" t="n">
        <v>0.2482370046417402</v>
      </c>
      <c r="J2718" t="n">
        <v>0.0004621250333797</v>
      </c>
      <c r="K2718" t="n">
        <v>0.9432990833300112</v>
      </c>
      <c r="L2718" t="b">
        <v>0</v>
      </c>
      <c r="M2718" t="b">
        <v>0</v>
      </c>
      <c r="N2718" t="inlineStr">
        <is>
          <t>ref</t>
        </is>
      </c>
      <c r="O2718" t="n">
        <v>-100</v>
      </c>
      <c r="P2718" t="n">
        <v>0.01863</v>
      </c>
      <c r="Q2718" t="n">
        <v>25</v>
      </c>
      <c r="R2718" t="n">
        <v>0.0371</v>
      </c>
      <c r="S2718">
        <f>IMAGE("https://mitra.stanford.edu/kundaje/oak/projects/neuro-variants/variant_position/credible/roussos_2024/variant_figures/roussos_2024.adolescence.Astrocyte/rs9868740_count_position.png",4,220,900)</f>
        <v/>
      </c>
      <c r="T2718">
        <f>IMAGE("https://mitra.stanford.edu/kundaje/oak/projects/neuro-variants/variant_position/credible/roussos_2024/variant_figures/roussos_2024.adolescence.Astrocyte/rs9868740_profile_position.png",4,220,900)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0.00634048252</v>
      </c>
      <c r="G2719" t="n">
        <v>0.6167538282371547</v>
      </c>
      <c r="H2719" t="n">
        <v>0.0116800637044294</v>
      </c>
      <c r="I2719" t="n">
        <v>0.5740462994323242</v>
      </c>
      <c r="J2719" t="n">
        <v>0.0374017149808622</v>
      </c>
      <c r="K2719" t="n">
        <v>0.4962292069890424</v>
      </c>
      <c r="L2719" t="b">
        <v>0</v>
      </c>
      <c r="M2719" t="b">
        <v>0</v>
      </c>
      <c r="N2719" t="inlineStr">
        <is>
          <t>alt</t>
        </is>
      </c>
      <c r="O2719" t="n">
        <v>-100</v>
      </c>
      <c r="P2719" t="n">
        <v>0.0264</v>
      </c>
      <c r="Q2719" t="n">
        <v>-50</v>
      </c>
      <c r="R2719" t="n">
        <v>0.02063</v>
      </c>
      <c r="S2719">
        <f>IMAGE("https://mitra.stanford.edu/kundaje/oak/projects/neuro-variants/variant_position/credible/roussos_2024/variant_figures/roussos_2024.adolescence.Astrocyte/rs9863548_count_position.png",4,220,900)</f>
        <v/>
      </c>
      <c r="T2719">
        <f>IMAGE("https://mitra.stanford.edu/kundaje/oak/projects/neuro-variants/variant_position/credible/roussos_2024/variant_figures/roussos_2024.adolescence.Astrocyte/rs9863548_profile_position.png",4,220,900)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0.00398559026</v>
      </c>
      <c r="G2720" t="n">
        <v>0.6388970504848469</v>
      </c>
      <c r="H2720" t="n">
        <v>0.0148675484849362</v>
      </c>
      <c r="I2720" t="n">
        <v>0.3321834056639521</v>
      </c>
      <c r="J2720" t="n">
        <v>0.0320550099397679</v>
      </c>
      <c r="K2720" t="n">
        <v>0.5395149329876425</v>
      </c>
      <c r="L2720" t="b">
        <v>0</v>
      </c>
      <c r="M2720" t="b">
        <v>0</v>
      </c>
      <c r="N2720" t="inlineStr">
        <is>
          <t>alt</t>
        </is>
      </c>
      <c r="O2720" t="n">
        <v>-95</v>
      </c>
      <c r="P2720" t="n">
        <v>0.02103</v>
      </c>
      <c r="Q2720" t="n">
        <v>-35</v>
      </c>
      <c r="R2720" t="n">
        <v>0.1045</v>
      </c>
      <c r="S2720">
        <f>IMAGE("https://mitra.stanford.edu/kundaje/oak/projects/neuro-variants/variant_position/credible/roussos_2024/variant_figures/roussos_2024.adolescence.Astrocyte/rs13318120_count_position.png",4,220,900)</f>
        <v/>
      </c>
      <c r="T2720">
        <f>IMAGE("https://mitra.stanford.edu/kundaje/oak/projects/neuro-variants/variant_position/credible/roussos_2024/variant_figures/roussos_2024.adolescence.Astrocyte/rs13318120_profile_position.png",4,220,900)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0.00523991988</v>
      </c>
      <c r="G2721" t="n">
        <v>0.7925912415493227</v>
      </c>
      <c r="H2721" t="n">
        <v>0.0223888897562761</v>
      </c>
      <c r="I2721" t="n">
        <v>0.0942553305709842</v>
      </c>
      <c r="J2721" t="n">
        <v>0.0021147969023528</v>
      </c>
      <c r="K2721" t="n">
        <v>0.8290663598405467</v>
      </c>
      <c r="L2721" t="b">
        <v>0</v>
      </c>
      <c r="M2721" t="b">
        <v>0</v>
      </c>
      <c r="N2721" t="inlineStr">
        <is>
          <t>alt</t>
        </is>
      </c>
      <c r="O2721" t="n">
        <v>100</v>
      </c>
      <c r="P2721" t="n">
        <v>0.126</v>
      </c>
      <c r="Q2721" t="n">
        <v>95</v>
      </c>
      <c r="R2721" t="n">
        <v>0.1859</v>
      </c>
      <c r="S2721">
        <f>IMAGE("https://mitra.stanford.edu/kundaje/oak/projects/neuro-variants/variant_position/credible/roussos_2024/variant_figures/roussos_2024.adolescence.Astrocyte/rs9875102_count_position.png",4,220,900)</f>
        <v/>
      </c>
      <c r="T2721">
        <f>IMAGE("https://mitra.stanford.edu/kundaje/oak/projects/neuro-variants/variant_position/credible/roussos_2024/variant_figures/roussos_2024.adolescence.Astrocyte/rs9875102_profile_position.png",4,220,900)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0.1531796939999999</v>
      </c>
      <c r="G2722" t="n">
        <v>0.0346890226132579</v>
      </c>
      <c r="H2722" t="n">
        <v>0.0204034262386055</v>
      </c>
      <c r="I2722" t="n">
        <v>0.1353366893698299</v>
      </c>
      <c r="J2722" t="n">
        <v>0.0003820134706108</v>
      </c>
      <c r="K2722" t="n">
        <v>0.9288819932005146</v>
      </c>
      <c r="L2722" t="b">
        <v>0</v>
      </c>
      <c r="M2722" t="b">
        <v>0</v>
      </c>
      <c r="N2722" t="inlineStr">
        <is>
          <t>alt</t>
        </is>
      </c>
      <c r="O2722" t="n">
        <v>-80</v>
      </c>
      <c r="P2722" t="n">
        <v>0.00593</v>
      </c>
      <c r="Q2722" t="n">
        <v>25</v>
      </c>
      <c r="R2722" t="n">
        <v>0.04288</v>
      </c>
      <c r="S2722">
        <f>IMAGE("https://mitra.stanford.edu/kundaje/oak/projects/neuro-variants/variant_position/credible/roussos_2024/variant_figures/roussos_2024.adolescence.Astrocyte/rs72933753_count_position.png",4,220,900)</f>
        <v/>
      </c>
      <c r="T2722">
        <f>IMAGE("https://mitra.stanford.edu/kundaje/oak/projects/neuro-variants/variant_position/credible/roussos_2024/variant_figures/roussos_2024.adolescence.Astrocyte/rs72933753_profile_position.png",4,220,900)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0.0107249079999999</v>
      </c>
      <c r="G2723" t="n">
        <v>0.7197047495687985</v>
      </c>
      <c r="H2723" t="n">
        <v>0.0093590014408303</v>
      </c>
      <c r="I2723" t="n">
        <v>0.8206584342901365</v>
      </c>
      <c r="J2723" t="n">
        <v>0.000273714506127</v>
      </c>
      <c r="K2723" t="n">
        <v>0.9426864093027988</v>
      </c>
      <c r="L2723" t="b">
        <v>0</v>
      </c>
      <c r="M2723" t="b">
        <v>0</v>
      </c>
      <c r="N2723" t="inlineStr">
        <is>
          <t>alt</t>
        </is>
      </c>
      <c r="O2723" t="n">
        <v>90</v>
      </c>
      <c r="P2723" t="n">
        <v>0.004738</v>
      </c>
      <c r="Q2723" t="n">
        <v>80</v>
      </c>
      <c r="R2723" t="n">
        <v>0.02731</v>
      </c>
      <c r="S2723">
        <f>IMAGE("https://mitra.stanford.edu/kundaje/oak/projects/neuro-variants/variant_position/credible/roussos_2024/variant_figures/roussos_2024.adolescence.Astrocyte/rs921582_count_position.png",4,220,900)</f>
        <v/>
      </c>
      <c r="T2723">
        <f>IMAGE("https://mitra.stanford.edu/kundaje/oak/projects/neuro-variants/variant_position/credible/roussos_2024/variant_figures/roussos_2024.adolescence.Astrocyte/rs921582_profile_position.png",4,220,900)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0.1744497846</v>
      </c>
      <c r="G2724" t="n">
        <v>0.0321885761781488</v>
      </c>
      <c r="H2724" t="n">
        <v>0.0199807413778916</v>
      </c>
      <c r="I2724" t="n">
        <v>0.1429293862983616</v>
      </c>
      <c r="J2724" t="n">
        <v>0.2716160282467436</v>
      </c>
      <c r="K2724" t="n">
        <v>0.151203554551761</v>
      </c>
      <c r="L2724" t="b">
        <v>0</v>
      </c>
      <c r="M2724" t="b">
        <v>0</v>
      </c>
      <c r="N2724" t="inlineStr">
        <is>
          <t>alt</t>
        </is>
      </c>
      <c r="O2724" t="n">
        <v>5</v>
      </c>
      <c r="P2724" t="n">
        <v>0.002716</v>
      </c>
      <c r="Q2724" t="n">
        <v>-75</v>
      </c>
      <c r="R2724" t="n">
        <v>0.1133</v>
      </c>
      <c r="S2724">
        <f>IMAGE("https://mitra.stanford.edu/kundaje/oak/projects/neuro-variants/variant_position/credible/roussos_2024/variant_figures/roussos_2024.adolescence.Astrocyte/rs1377275_count_position.png",4,220,900)</f>
        <v/>
      </c>
      <c r="T2724">
        <f>IMAGE("https://mitra.stanford.edu/kundaje/oak/projects/neuro-variants/variant_position/credible/roussos_2024/variant_figures/roussos_2024.adolescence.Astrocyte/rs1377275_profile_position.png",4,220,900)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0.1362468869999999</v>
      </c>
      <c r="G2725" t="n">
        <v>0.0479524272481682</v>
      </c>
      <c r="H2725" t="n">
        <v>0.0148091454462761</v>
      </c>
      <c r="I2725" t="n">
        <v>0.3341295445809895</v>
      </c>
      <c r="J2725" t="n">
        <v>0.0089546924606117</v>
      </c>
      <c r="K2725" t="n">
        <v>0.685732155322623</v>
      </c>
      <c r="L2725" t="b">
        <v>0</v>
      </c>
      <c r="M2725" t="b">
        <v>0</v>
      </c>
      <c r="N2725" t="inlineStr">
        <is>
          <t>alt</t>
        </is>
      </c>
      <c r="O2725" t="n">
        <v>40</v>
      </c>
      <c r="P2725" t="n">
        <v>0.00631</v>
      </c>
      <c r="Q2725" t="n">
        <v>40</v>
      </c>
      <c r="R2725" t="n">
        <v>0.03833</v>
      </c>
      <c r="S2725">
        <f>IMAGE("https://mitra.stanford.edu/kundaje/oak/projects/neuro-variants/variant_position/credible/roussos_2024/variant_figures/roussos_2024.adolescence.Astrocyte/rs59142860_count_position.png",4,220,900)</f>
        <v/>
      </c>
      <c r="T2725">
        <f>IMAGE("https://mitra.stanford.edu/kundaje/oak/projects/neuro-variants/variant_position/credible/roussos_2024/variant_figures/roussos_2024.adolescence.Astrocyte/rs59142860_profile_position.png",4,220,900)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0.01183630886</v>
      </c>
      <c r="G2726" t="n">
        <v>0.6982671674298944</v>
      </c>
      <c r="H2726" t="n">
        <v>0.0253132840247454</v>
      </c>
      <c r="I2726" t="n">
        <v>0.0604459941119725</v>
      </c>
      <c r="J2726" t="n">
        <v>0.0118401922677505</v>
      </c>
      <c r="K2726" t="n">
        <v>0.6389655616741117</v>
      </c>
      <c r="L2726" t="b">
        <v>0</v>
      </c>
      <c r="M2726" t="b">
        <v>0</v>
      </c>
      <c r="N2726" t="inlineStr">
        <is>
          <t>alt</t>
        </is>
      </c>
      <c r="O2726" t="n">
        <v>-15</v>
      </c>
      <c r="P2726" t="n">
        <v>0.001892</v>
      </c>
      <c r="Q2726" t="n">
        <v>-15</v>
      </c>
      <c r="R2726" t="n">
        <v>0.014404</v>
      </c>
      <c r="S2726">
        <f>IMAGE("https://mitra.stanford.edu/kundaje/oak/projects/neuro-variants/variant_position/credible/roussos_2024/variant_figures/roussos_2024.adolescence.Astrocyte/rs72933787_count_position.png",4,220,900)</f>
        <v/>
      </c>
      <c r="T2726">
        <f>IMAGE("https://mitra.stanford.edu/kundaje/oak/projects/neuro-variants/variant_position/credible/roussos_2024/variant_figures/roussos_2024.adolescence.Astrocyte/rs72933787_profile_position.png",4,220,900)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0.0158779441</v>
      </c>
      <c r="G2727" t="n">
        <v>0.5934325573913638</v>
      </c>
      <c r="H2727" t="n">
        <v>0.0198479969963852</v>
      </c>
      <c r="I2727" t="n">
        <v>0.1408292953643586</v>
      </c>
      <c r="J2727" t="n">
        <v>0.0281562472183484</v>
      </c>
      <c r="K2727" t="n">
        <v>0.5233608470525151</v>
      </c>
      <c r="L2727" t="b">
        <v>0</v>
      </c>
      <c r="M2727" t="b">
        <v>0</v>
      </c>
      <c r="N2727" t="inlineStr">
        <is>
          <t>alt</t>
        </is>
      </c>
      <c r="O2727" t="n">
        <v>90</v>
      </c>
      <c r="P2727" t="n">
        <v>0.002205</v>
      </c>
      <c r="Q2727" t="n">
        <v>100</v>
      </c>
      <c r="R2727" t="n">
        <v>0.09859999999999999</v>
      </c>
      <c r="S2727">
        <f>IMAGE("https://mitra.stanford.edu/kundaje/oak/projects/neuro-variants/variant_position/credible/roussos_2024/variant_figures/roussos_2024.adolescence.Astrocyte/rs1289771_count_position.png",4,220,900)</f>
        <v/>
      </c>
      <c r="T2727">
        <f>IMAGE("https://mitra.stanford.edu/kundaje/oak/projects/neuro-variants/variant_position/credible/roussos_2024/variant_figures/roussos_2024.adolescence.Astrocyte/rs1289771_profile_position.png",4,220,900)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-0.0135122036</v>
      </c>
      <c r="G2728" t="n">
        <v>0.5550026730818689</v>
      </c>
      <c r="H2728" t="n">
        <v>0.0226246334025367</v>
      </c>
      <c r="I2728" t="n">
        <v>0.0898613360954494</v>
      </c>
      <c r="J2728" t="n">
        <v>0.07997062576031801</v>
      </c>
      <c r="K2728" t="n">
        <v>0.361451323821485</v>
      </c>
      <c r="L2728" t="b">
        <v>0</v>
      </c>
      <c r="M2728" t="b">
        <v>0</v>
      </c>
      <c r="N2728" t="inlineStr">
        <is>
          <t>ref</t>
        </is>
      </c>
      <c r="O2728" t="n">
        <v>-10</v>
      </c>
      <c r="P2728" t="n">
        <v>0.003601</v>
      </c>
      <c r="Q2728" t="n">
        <v>-70</v>
      </c>
      <c r="R2728" t="n">
        <v>0.2007</v>
      </c>
      <c r="S2728">
        <f>IMAGE("https://mitra.stanford.edu/kundaje/oak/projects/neuro-variants/variant_position/credible/roussos_2024/variant_figures/roussos_2024.adolescence.Astrocyte/rs1289769_count_position.png",4,220,900)</f>
        <v/>
      </c>
      <c r="T2728">
        <f>IMAGE("https://mitra.stanford.edu/kundaje/oak/projects/neuro-variants/variant_position/credible/roussos_2024/variant_figures/roussos_2024.adolescence.Astrocyte/rs1289769_profile_position.png",4,220,900)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0.0027346847999999</v>
      </c>
      <c r="G2729" t="n">
        <v>0.3348280749787715</v>
      </c>
      <c r="H2729" t="n">
        <v>0.0127144885981306</v>
      </c>
      <c r="I2729" t="n">
        <v>0.4805363831395415</v>
      </c>
      <c r="J2729" t="n">
        <v>0.0019449307183336</v>
      </c>
      <c r="K2729" t="n">
        <v>0.8597755276721144</v>
      </c>
      <c r="L2729" t="b">
        <v>0</v>
      </c>
      <c r="M2729" t="b">
        <v>0</v>
      </c>
      <c r="N2729" t="inlineStr">
        <is>
          <t>alt</t>
        </is>
      </c>
      <c r="O2729" t="n">
        <v>-25</v>
      </c>
      <c r="P2729" t="n">
        <v>0.01365</v>
      </c>
      <c r="Q2729" t="n">
        <v>-35</v>
      </c>
      <c r="R2729" t="n">
        <v>0.06082</v>
      </c>
      <c r="S2729">
        <f>IMAGE("https://mitra.stanford.edu/kundaje/oak/projects/neuro-variants/variant_position/credible/roussos_2024/variant_figures/roussos_2024.adolescence.Astrocyte/rs62267923_count_position.png",4,220,900)</f>
        <v/>
      </c>
      <c r="T2729">
        <f>IMAGE("https://mitra.stanford.edu/kundaje/oak/projects/neuro-variants/variant_position/credible/roussos_2024/variant_figures/roussos_2024.adolescence.Astrocyte/rs62267923_profile_position.png",4,220,900)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0.00285882026</v>
      </c>
      <c r="G2730" t="n">
        <v>0.826650005973087</v>
      </c>
      <c r="H2730" t="n">
        <v>0.0293904190681585</v>
      </c>
      <c r="I2730" t="n">
        <v>0.0339715519081918</v>
      </c>
      <c r="J2730" t="n">
        <v>0.0208824140284247</v>
      </c>
      <c r="K2730" t="n">
        <v>0.5932322497361453</v>
      </c>
      <c r="L2730" t="b">
        <v>0</v>
      </c>
      <c r="M2730" t="b">
        <v>0</v>
      </c>
      <c r="N2730" t="inlineStr">
        <is>
          <t>alt</t>
        </is>
      </c>
      <c r="O2730" t="n">
        <v>15</v>
      </c>
      <c r="P2730" t="n">
        <v>0.002731</v>
      </c>
      <c r="Q2730" t="n">
        <v>20</v>
      </c>
      <c r="R2730" t="n">
        <v>0.02979</v>
      </c>
      <c r="S2730">
        <f>IMAGE("https://mitra.stanford.edu/kundaje/oak/projects/neuro-variants/variant_position/credible/roussos_2024/variant_figures/roussos_2024.adolescence.Astrocyte/rs1289759_count_position.png",4,220,900)</f>
        <v/>
      </c>
      <c r="T2730">
        <f>IMAGE("https://mitra.stanford.edu/kundaje/oak/projects/neuro-variants/variant_position/credible/roussos_2024/variant_figures/roussos_2024.adolescence.Astrocyte/rs1289759_profile_position.png",4,220,900)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-0.0937977134</v>
      </c>
      <c r="G2731" t="n">
        <v>0.1059851793564798</v>
      </c>
      <c r="H2731" t="n">
        <v>0.022598884661592</v>
      </c>
      <c r="I2731" t="n">
        <v>0.0936118042483981</v>
      </c>
      <c r="J2731" t="n">
        <v>0.1280501735750526</v>
      </c>
      <c r="K2731" t="n">
        <v>0.2835739073767026</v>
      </c>
      <c r="L2731" t="b">
        <v>0</v>
      </c>
      <c r="M2731" t="b">
        <v>0</v>
      </c>
      <c r="N2731" t="inlineStr">
        <is>
          <t>ref</t>
        </is>
      </c>
      <c r="O2731" t="n">
        <v>-95</v>
      </c>
      <c r="P2731" t="n">
        <v>0.00873</v>
      </c>
      <c r="Q2731" t="n">
        <v>70</v>
      </c>
      <c r="R2731" t="n">
        <v>0.0542</v>
      </c>
      <c r="S2731">
        <f>IMAGE("https://mitra.stanford.edu/kundaje/oak/projects/neuro-variants/variant_position/credible/roussos_2024/variant_figures/roussos_2024.adolescence.Astrocyte/rs9842435_count_position.png",4,220,900)</f>
        <v/>
      </c>
      <c r="T2731">
        <f>IMAGE("https://mitra.stanford.edu/kundaje/oak/projects/neuro-variants/variant_position/credible/roussos_2024/variant_figures/roussos_2024.adolescence.Astrocyte/rs9842435_profile_position.png",4,220,900)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0.0261735815999999</v>
      </c>
      <c r="G2732" t="n">
        <v>0.4522049236464562</v>
      </c>
      <c r="H2732" t="n">
        <v>0.0262614168952077</v>
      </c>
      <c r="I2732" t="n">
        <v>0.0527330031392472</v>
      </c>
      <c r="J2732" t="n">
        <v>0.3341238168709016</v>
      </c>
      <c r="K2732" t="n">
        <v>0.116353269021615</v>
      </c>
      <c r="L2732" t="b">
        <v>0</v>
      </c>
      <c r="M2732" t="b">
        <v>0</v>
      </c>
      <c r="N2732" t="inlineStr">
        <is>
          <t>alt</t>
        </is>
      </c>
      <c r="O2732" t="n">
        <v>85</v>
      </c>
      <c r="P2732" t="n">
        <v>0.1781</v>
      </c>
      <c r="Q2732" t="n">
        <v>85</v>
      </c>
      <c r="R2732" t="n">
        <v>0.2578</v>
      </c>
      <c r="S2732">
        <f>IMAGE("https://mitra.stanford.edu/kundaje/oak/projects/neuro-variants/variant_position/credible/roussos_2024/variant_figures/roussos_2024.adolescence.Astrocyte/rs6799997_count_position.png",4,220,900)</f>
        <v/>
      </c>
      <c r="T2732">
        <f>IMAGE("https://mitra.stanford.edu/kundaje/oak/projects/neuro-variants/variant_position/credible/roussos_2024/variant_figures/roussos_2024.adolescence.Astrocyte/rs6799997_profile_position.png",4,220,900)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-0.006400705708</v>
      </c>
      <c r="G2733" t="n">
        <v>0.8341827031583605</v>
      </c>
      <c r="H2733" t="n">
        <v>0.013204381667607</v>
      </c>
      <c r="I2733" t="n">
        <v>0.4510866649315846</v>
      </c>
      <c r="J2733" t="n">
        <v>0.0187742930896358</v>
      </c>
      <c r="K2733" t="n">
        <v>0.5997727291958931</v>
      </c>
      <c r="L2733" t="b">
        <v>0</v>
      </c>
      <c r="M2733" t="b">
        <v>0</v>
      </c>
      <c r="N2733" t="inlineStr">
        <is>
          <t>ref</t>
        </is>
      </c>
      <c r="O2733" t="n">
        <v>85</v>
      </c>
      <c r="P2733" t="n">
        <v>0.004257</v>
      </c>
      <c r="Q2733" t="n">
        <v>70</v>
      </c>
      <c r="R2733" t="n">
        <v>0.03986</v>
      </c>
      <c r="S2733">
        <f>IMAGE("https://mitra.stanford.edu/kundaje/oak/projects/neuro-variants/variant_position/credible/roussos_2024/variant_figures/roussos_2024.adolescence.Astrocyte/rs55979908_count_position.png",4,220,900)</f>
        <v/>
      </c>
      <c r="T2733">
        <f>IMAGE("https://mitra.stanford.edu/kundaje/oak/projects/neuro-variants/variant_position/credible/roussos_2024/variant_figures/roussos_2024.adolescence.Astrocyte/rs55979908_profile_position.png",4,220,900)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-0.0116696071</v>
      </c>
      <c r="G2734" t="n">
        <v>0.7094874485223075</v>
      </c>
      <c r="H2734" t="n">
        <v>0.0227881736764544</v>
      </c>
      <c r="I2734" t="n">
        <v>0.08735646929901809</v>
      </c>
      <c r="J2734" t="n">
        <v>0.0538987627214194</v>
      </c>
      <c r="K2734" t="n">
        <v>0.4514164129951112</v>
      </c>
      <c r="L2734" t="b">
        <v>0</v>
      </c>
      <c r="M2734" t="b">
        <v>0</v>
      </c>
      <c r="N2734" t="inlineStr">
        <is>
          <t>ref</t>
        </is>
      </c>
      <c r="O2734" t="n">
        <v>85</v>
      </c>
      <c r="P2734" t="n">
        <v>0.031</v>
      </c>
      <c r="Q2734" t="n">
        <v>100</v>
      </c>
      <c r="R2734" t="n">
        <v>0.3062</v>
      </c>
      <c r="S2734">
        <f>IMAGE("https://mitra.stanford.edu/kundaje/oak/projects/neuro-variants/variant_position/credible/roussos_2024/variant_figures/roussos_2024.adolescence.Astrocyte/rs62263082_count_position.png",4,220,900)</f>
        <v/>
      </c>
      <c r="T2734">
        <f>IMAGE("https://mitra.stanford.edu/kundaje/oak/projects/neuro-variants/variant_position/credible/roussos_2024/variant_figures/roussos_2024.adolescence.Astrocyte/rs62263082_profile_position.png",4,220,900)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-0.054998292</v>
      </c>
      <c r="G2735" t="n">
        <v>0.2060318131850604</v>
      </c>
      <c r="H2735" t="n">
        <v>0.0215709033213926</v>
      </c>
      <c r="I2735" t="n">
        <v>0.1080412270902425</v>
      </c>
      <c r="J2735" t="n">
        <v>0.1195138414977894</v>
      </c>
      <c r="K2735" t="n">
        <v>0.2962778471207825</v>
      </c>
      <c r="L2735" t="b">
        <v>0</v>
      </c>
      <c r="M2735" t="b">
        <v>0</v>
      </c>
      <c r="N2735" t="inlineStr">
        <is>
          <t>ref</t>
        </is>
      </c>
      <c r="O2735" t="n">
        <v>-45</v>
      </c>
      <c r="P2735" t="n">
        <v>0.03186</v>
      </c>
      <c r="Q2735" t="n">
        <v>-60</v>
      </c>
      <c r="R2735" t="n">
        <v>0.1965</v>
      </c>
      <c r="S2735">
        <f>IMAGE("https://mitra.stanford.edu/kundaje/oak/projects/neuro-variants/variant_position/credible/roussos_2024/variant_figures/roussos_2024.adolescence.Astrocyte/rs55704727_count_position.png",4,220,900)</f>
        <v/>
      </c>
      <c r="T2735">
        <f>IMAGE("https://mitra.stanford.edu/kundaje/oak/projects/neuro-variants/variant_position/credible/roussos_2024/variant_figures/roussos_2024.adolescence.Astrocyte/rs55704727_profile_position.png",4,220,900)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-0.02009214152</v>
      </c>
      <c r="G2736" t="n">
        <v>0.5672168601592936</v>
      </c>
      <c r="H2736" t="n">
        <v>0.0229069227921777</v>
      </c>
      <c r="I2736" t="n">
        <v>0.0864445734918801</v>
      </c>
      <c r="J2736" t="n">
        <v>0.0006134468741654</v>
      </c>
      <c r="K2736" t="n">
        <v>0.9086741728227592</v>
      </c>
      <c r="L2736" t="b">
        <v>0</v>
      </c>
      <c r="M2736" t="b">
        <v>0</v>
      </c>
      <c r="N2736" t="inlineStr">
        <is>
          <t>ref</t>
        </is>
      </c>
      <c r="O2736" t="n">
        <v>-10</v>
      </c>
      <c r="P2736" t="n">
        <v>0.000946</v>
      </c>
      <c r="Q2736" t="n">
        <v>70</v>
      </c>
      <c r="R2736" t="n">
        <v>0.00953</v>
      </c>
      <c r="S2736">
        <f>IMAGE("https://mitra.stanford.edu/kundaje/oak/projects/neuro-variants/variant_position/credible/roussos_2024/variant_figures/roussos_2024.adolescence.Astrocyte/rs6769144_count_position.png",4,220,900)</f>
        <v/>
      </c>
      <c r="T2736">
        <f>IMAGE("https://mitra.stanford.edu/kundaje/oak/projects/neuro-variants/variant_position/credible/roussos_2024/variant_figures/roussos_2024.adolescence.Astrocyte/rs6769144_profile_position.png",4,220,900)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-0.0711627982</v>
      </c>
      <c r="G2737" t="n">
        <v>0.1485820585678028</v>
      </c>
      <c r="H2737" t="n">
        <v>0.0267480547881691</v>
      </c>
      <c r="I2737" t="n">
        <v>0.0496534036748411</v>
      </c>
      <c r="J2737" t="n">
        <v>0.117680176838857</v>
      </c>
      <c r="K2737" t="n">
        <v>0.2950839018058276</v>
      </c>
      <c r="L2737" t="b">
        <v>0</v>
      </c>
      <c r="M2737" t="b">
        <v>0</v>
      </c>
      <c r="N2737" t="inlineStr">
        <is>
          <t>ref</t>
        </is>
      </c>
      <c r="O2737" t="n">
        <v>-90</v>
      </c>
      <c r="P2737" t="n">
        <v>0.01453</v>
      </c>
      <c r="Q2737" t="n">
        <v>5</v>
      </c>
      <c r="R2737" t="n">
        <v>0.02344</v>
      </c>
      <c r="S2737">
        <f>IMAGE("https://mitra.stanford.edu/kundaje/oak/projects/neuro-variants/variant_position/credible/roussos_2024/variant_figures/roussos_2024.adolescence.Astrocyte/rs62263119_count_position.png",4,220,900)</f>
        <v/>
      </c>
      <c r="T2737">
        <f>IMAGE("https://mitra.stanford.edu/kundaje/oak/projects/neuro-variants/variant_position/credible/roussos_2024/variant_figures/roussos_2024.adolescence.Astrocyte/rs62263119_profile_position.png",4,220,900)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0.2418763748</v>
      </c>
      <c r="G2738" t="n">
        <v>0.012736931969958</v>
      </c>
      <c r="H2738" t="n">
        <v>0.030612277498872</v>
      </c>
      <c r="I2738" t="n">
        <v>0.0308228130918848</v>
      </c>
      <c r="J2738" t="n">
        <v>0.1729779248138147</v>
      </c>
      <c r="K2738" t="n">
        <v>0.2300557906838972</v>
      </c>
      <c r="L2738" t="b">
        <v>1</v>
      </c>
      <c r="M2738" t="b">
        <v>0</v>
      </c>
      <c r="N2738" t="inlineStr">
        <is>
          <t>alt</t>
        </is>
      </c>
      <c r="O2738" t="n">
        <v>-100</v>
      </c>
      <c r="P2738" t="n">
        <v>0.007385</v>
      </c>
      <c r="Q2738" t="n">
        <v>-75</v>
      </c>
      <c r="R2738" t="n">
        <v>0.1401</v>
      </c>
      <c r="S2738">
        <f>IMAGE("https://mitra.stanford.edu/kundaje/oak/projects/neuro-variants/variant_position/credible/roussos_2024/variant_figures/roussos_2024.adolescence.Astrocyte/rs62263120_count_position.png",4,220,900)</f>
        <v/>
      </c>
      <c r="T2738">
        <f>IMAGE("https://mitra.stanford.edu/kundaje/oak/projects/neuro-variants/variant_position/credible/roussos_2024/variant_figures/roussos_2024.adolescence.Astrocyte/rs62263120_profile_position.png",4,220,900)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-0.0903197748</v>
      </c>
      <c r="G2739" t="n">
        <v>0.0946322239758562</v>
      </c>
      <c r="H2739" t="n">
        <v>0.0124526945361533</v>
      </c>
      <c r="I2739" t="n">
        <v>0.5171486853362537</v>
      </c>
      <c r="J2739" t="n">
        <v>0.0013003293475357</v>
      </c>
      <c r="K2739" t="n">
        <v>0.8568611549079591</v>
      </c>
      <c r="L2739" t="b">
        <v>0</v>
      </c>
      <c r="M2739" t="b">
        <v>0</v>
      </c>
      <c r="N2739" t="inlineStr">
        <is>
          <t>ref</t>
        </is>
      </c>
      <c r="O2739" t="n">
        <v>-20</v>
      </c>
      <c r="P2739" t="n">
        <v>0.000845</v>
      </c>
      <c r="Q2739" t="n">
        <v>-70</v>
      </c>
      <c r="R2739" t="n">
        <v>0.0697</v>
      </c>
      <c r="S2739">
        <f>IMAGE("https://mitra.stanford.edu/kundaje/oak/projects/neuro-variants/variant_position/credible/roussos_2024/variant_figures/roussos_2024.adolescence.Astrocyte/rs62264763_count_position.png",4,220,900)</f>
        <v/>
      </c>
      <c r="T2739">
        <f>IMAGE("https://mitra.stanford.edu/kundaje/oak/projects/neuro-variants/variant_position/credible/roussos_2024/variant_figures/roussos_2024.adolescence.Astrocyte/rs62264763_profile_position.png",4,220,900)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-0.07010223779999999</v>
      </c>
      <c r="G2740" t="n">
        <v>0.1294756646134817</v>
      </c>
      <c r="H2740" t="n">
        <v>0.0471726663834788</v>
      </c>
      <c r="I2740" t="n">
        <v>0.0050482838964764</v>
      </c>
      <c r="J2740" t="n">
        <v>0.5385603655460939</v>
      </c>
      <c r="K2740" t="n">
        <v>0.0468106519522721</v>
      </c>
      <c r="L2740" t="b">
        <v>1</v>
      </c>
      <c r="M2740" t="b">
        <v>1</v>
      </c>
      <c r="N2740" t="inlineStr">
        <is>
          <t>ref</t>
        </is>
      </c>
      <c r="O2740" t="n">
        <v>45</v>
      </c>
      <c r="P2740" t="n">
        <v>0.01245</v>
      </c>
      <c r="Q2740" t="n">
        <v>-100</v>
      </c>
      <c r="R2740" t="n">
        <v>0.1843</v>
      </c>
      <c r="S2740">
        <f>IMAGE("https://mitra.stanford.edu/kundaje/oak/projects/neuro-variants/variant_position/credible/roussos_2024/variant_figures/roussos_2024.adolescence.Astrocyte/rs62264764_count_position.png",4,220,900)</f>
        <v/>
      </c>
      <c r="T2740">
        <f>IMAGE("https://mitra.stanford.edu/kundaje/oak/projects/neuro-variants/variant_position/credible/roussos_2024/variant_figures/roussos_2024.adolescence.Astrocyte/rs62264764_profile_position.png",4,220,900)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-0.0838172772</v>
      </c>
      <c r="G2741" t="n">
        <v>0.1172436649940167</v>
      </c>
      <c r="H2741" t="n">
        <v>0.0127045652121032</v>
      </c>
      <c r="I2741" t="n">
        <v>0.4896547824886348</v>
      </c>
      <c r="J2741" t="n">
        <v>0.0266623149274544</v>
      </c>
      <c r="K2741" t="n">
        <v>0.5310860726774368</v>
      </c>
      <c r="L2741" t="b">
        <v>0</v>
      </c>
      <c r="M2741" t="b">
        <v>0</v>
      </c>
      <c r="N2741" t="inlineStr">
        <is>
          <t>ref</t>
        </is>
      </c>
      <c r="O2741" t="n">
        <v>-95</v>
      </c>
      <c r="P2741" t="n">
        <v>0.02922</v>
      </c>
      <c r="Q2741" t="n">
        <v>95</v>
      </c>
      <c r="R2741" t="n">
        <v>0.0988</v>
      </c>
      <c r="S2741">
        <f>IMAGE("https://mitra.stanford.edu/kundaje/oak/projects/neuro-variants/variant_position/credible/roussos_2024/variant_figures/roussos_2024.adolescence.Astrocyte/rs7649429_count_position.png",4,220,900)</f>
        <v/>
      </c>
      <c r="T2741">
        <f>IMAGE("https://mitra.stanford.edu/kundaje/oak/projects/neuro-variants/variant_position/credible/roussos_2024/variant_figures/roussos_2024.adolescence.Astrocyte/rs7649429_profile_position.png",4,220,900)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-0.0053960518</v>
      </c>
      <c r="G2742" t="n">
        <v>0.7360832782136509</v>
      </c>
      <c r="H2742" t="n">
        <v>0.0269026569139047</v>
      </c>
      <c r="I2742" t="n">
        <v>0.0476235925844954</v>
      </c>
      <c r="J2742" t="n">
        <v>0.0208876064445301</v>
      </c>
      <c r="K2742" t="n">
        <v>0.5717798883050367</v>
      </c>
      <c r="L2742" t="b">
        <v>0</v>
      </c>
      <c r="M2742" t="b">
        <v>0</v>
      </c>
      <c r="N2742" t="inlineStr">
        <is>
          <t>ref</t>
        </is>
      </c>
      <c r="O2742" t="n">
        <v>-25</v>
      </c>
      <c r="P2742" t="n">
        <v>0.003624</v>
      </c>
      <c r="Q2742" t="n">
        <v>100</v>
      </c>
      <c r="R2742" t="n">
        <v>0.0583</v>
      </c>
      <c r="S2742">
        <f>IMAGE("https://mitra.stanford.edu/kundaje/oak/projects/neuro-variants/variant_position/credible/roussos_2024/variant_figures/roussos_2024.adolescence.Astrocyte/rs7631320_count_position.png",4,220,900)</f>
        <v/>
      </c>
      <c r="T2742">
        <f>IMAGE("https://mitra.stanford.edu/kundaje/oak/projects/neuro-variants/variant_position/credible/roussos_2024/variant_figures/roussos_2024.adolescence.Astrocyte/rs7631320_profile_position.png",4,220,900)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-0.1215948416</v>
      </c>
      <c r="G2743" t="n">
        <v>0.0618410063146864</v>
      </c>
      <c r="H2743" t="n">
        <v>0.0195785053391379</v>
      </c>
      <c r="I2743" t="n">
        <v>0.1549806839899901</v>
      </c>
      <c r="J2743" t="n">
        <v>0.0014961576120819</v>
      </c>
      <c r="K2743" t="n">
        <v>0.8442941862625336</v>
      </c>
      <c r="L2743" t="b">
        <v>0</v>
      </c>
      <c r="M2743" t="b">
        <v>0</v>
      </c>
      <c r="N2743" t="inlineStr">
        <is>
          <t>ref</t>
        </is>
      </c>
      <c r="O2743" t="n">
        <v>-80</v>
      </c>
      <c r="P2743" t="n">
        <v>0.01978</v>
      </c>
      <c r="Q2743" t="n">
        <v>80</v>
      </c>
      <c r="R2743" t="n">
        <v>0.02264</v>
      </c>
      <c r="S2743">
        <f>IMAGE("https://mitra.stanford.edu/kundaje/oak/projects/neuro-variants/variant_position/credible/roussos_2024/variant_figures/roussos_2024.adolescence.Astrocyte/rs62264778_count_position.png",4,220,900)</f>
        <v/>
      </c>
      <c r="T2743">
        <f>IMAGE("https://mitra.stanford.edu/kundaje/oak/projects/neuro-variants/variant_position/credible/roussos_2024/variant_figures/roussos_2024.adolescence.Astrocyte/rs62264778_profile_position.png",4,220,900)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0.1250351672</v>
      </c>
      <c r="G2744" t="n">
        <v>0.0641887299786454</v>
      </c>
      <c r="H2744" t="n">
        <v>0.0250993902743065</v>
      </c>
      <c r="I2744" t="n">
        <v>0.0639728003393925</v>
      </c>
      <c r="J2744" t="n">
        <v>0.0455975729163575</v>
      </c>
      <c r="K2744" t="n">
        <v>0.4565586292587117</v>
      </c>
      <c r="L2744" t="b">
        <v>0</v>
      </c>
      <c r="M2744" t="b">
        <v>0</v>
      </c>
      <c r="N2744" t="inlineStr">
        <is>
          <t>alt</t>
        </is>
      </c>
      <c r="O2744" t="n">
        <v>65</v>
      </c>
      <c r="P2744" t="n">
        <v>0.0083</v>
      </c>
      <c r="Q2744" t="n">
        <v>90</v>
      </c>
      <c r="R2744" t="n">
        <v>0.1382</v>
      </c>
      <c r="S2744">
        <f>IMAGE("https://mitra.stanford.edu/kundaje/oak/projects/neuro-variants/variant_position/credible/roussos_2024/variant_figures/roussos_2024.adolescence.Astrocyte/rs62264780_count_position.png",4,220,900)</f>
        <v/>
      </c>
      <c r="T2744">
        <f>IMAGE("https://mitra.stanford.edu/kundaje/oak/projects/neuro-variants/variant_position/credible/roussos_2024/variant_figures/roussos_2024.adolescence.Astrocyte/rs62264780_profile_position.png",4,220,900)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0.02325509526</v>
      </c>
      <c r="G2745" t="n">
        <v>0.4837651695280824</v>
      </c>
      <c r="H2745" t="n">
        <v>0.0111860201042226</v>
      </c>
      <c r="I2745" t="n">
        <v>0.6250085250978991</v>
      </c>
      <c r="J2745" t="n">
        <v>0.0006698216775954</v>
      </c>
      <c r="K2745" t="n">
        <v>0.9133223744147876</v>
      </c>
      <c r="L2745" t="b">
        <v>0</v>
      </c>
      <c r="M2745" t="b">
        <v>0</v>
      </c>
      <c r="N2745" t="inlineStr">
        <is>
          <t>alt</t>
        </is>
      </c>
      <c r="O2745" t="n">
        <v>-100</v>
      </c>
      <c r="P2745" t="n">
        <v>0.004005</v>
      </c>
      <c r="Q2745" t="n">
        <v>-40</v>
      </c>
      <c r="R2745" t="n">
        <v>0.03056</v>
      </c>
      <c r="S2745">
        <f>IMAGE("https://mitra.stanford.edu/kundaje/oak/projects/neuro-variants/variant_position/credible/roussos_2024/variant_figures/roussos_2024.adolescence.Astrocyte/rs73168397_count_position.png",4,220,900)</f>
        <v/>
      </c>
      <c r="T2745">
        <f>IMAGE("https://mitra.stanford.edu/kundaje/oak/projects/neuro-variants/variant_position/credible/roussos_2024/variant_figures/roussos_2024.adolescence.Astrocyte/rs73168397_profile_position.png",4,220,900)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0.2110708303999999</v>
      </c>
      <c r="G2746" t="n">
        <v>0.0226745318436048</v>
      </c>
      <c r="H2746" t="n">
        <v>0.0179519225151013</v>
      </c>
      <c r="I2746" t="n">
        <v>0.2144271569814675</v>
      </c>
      <c r="J2746" t="n">
        <v>0.0498138147939351</v>
      </c>
      <c r="K2746" t="n">
        <v>0.4669248876685204</v>
      </c>
      <c r="L2746" t="b">
        <v>0</v>
      </c>
      <c r="M2746" t="b">
        <v>0</v>
      </c>
      <c r="N2746" t="inlineStr">
        <is>
          <t>alt</t>
        </is>
      </c>
      <c r="O2746" t="n">
        <v>-95</v>
      </c>
      <c r="P2746" t="n">
        <v>0.00226</v>
      </c>
      <c r="Q2746" t="n">
        <v>-30</v>
      </c>
      <c r="R2746" t="n">
        <v>0.06836</v>
      </c>
      <c r="S2746">
        <f>IMAGE("https://mitra.stanford.edu/kundaje/oak/projects/neuro-variants/variant_position/credible/roussos_2024/variant_figures/roussos_2024.adolescence.Astrocyte/rs62264819_count_position.png",4,220,900)</f>
        <v/>
      </c>
      <c r="T2746">
        <f>IMAGE("https://mitra.stanford.edu/kundaje/oak/projects/neuro-variants/variant_position/credible/roussos_2024/variant_figures/roussos_2024.adolescence.Astrocyte/rs62264819_profile_position.png",4,220,900)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0.0747610004</v>
      </c>
      <c r="G2747" t="n">
        <v>0.1445313086170362</v>
      </c>
      <c r="H2747" t="n">
        <v>0.0219935776011281</v>
      </c>
      <c r="I2747" t="n">
        <v>0.1002211342422217</v>
      </c>
      <c r="J2747" t="n">
        <v>0.0152011690353973</v>
      </c>
      <c r="K2747" t="n">
        <v>0.6125906556469756</v>
      </c>
      <c r="L2747" t="b">
        <v>0</v>
      </c>
      <c r="M2747" t="b">
        <v>0</v>
      </c>
      <c r="N2747" t="inlineStr">
        <is>
          <t>alt</t>
        </is>
      </c>
      <c r="O2747" t="n">
        <v>-75</v>
      </c>
      <c r="P2747" t="n">
        <v>0.01772</v>
      </c>
      <c r="Q2747" t="n">
        <v>100</v>
      </c>
      <c r="R2747" t="n">
        <v>0.12445</v>
      </c>
      <c r="S2747">
        <f>IMAGE("https://mitra.stanford.edu/kundaje/oak/projects/neuro-variants/variant_position/credible/roussos_2024/variant_figures/roussos_2024.adolescence.Astrocyte/rs1499972_count_position.png",4,220,900)</f>
        <v/>
      </c>
      <c r="T2747">
        <f>IMAGE("https://mitra.stanford.edu/kundaje/oak/projects/neuro-variants/variant_position/credible/roussos_2024/variant_figures/roussos_2024.adolescence.Astrocyte/rs1499972_profile_position.png",4,220,900)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-0.309739106</v>
      </c>
      <c r="G2748" t="n">
        <v>0.0063726705410067</v>
      </c>
      <c r="H2748" t="n">
        <v>0.0226573961139954</v>
      </c>
      <c r="I2748" t="n">
        <v>0.0951880779642738</v>
      </c>
      <c r="J2748" t="n">
        <v>0.1907404385366287</v>
      </c>
      <c r="K2748" t="n">
        <v>0.2113248160641899</v>
      </c>
      <c r="L2748" t="b">
        <v>1</v>
      </c>
      <c r="M2748" t="b">
        <v>1</v>
      </c>
      <c r="N2748" t="inlineStr">
        <is>
          <t>ref</t>
        </is>
      </c>
      <c r="O2748" t="n">
        <v>-45</v>
      </c>
      <c r="P2748" t="n">
        <v>0.01236</v>
      </c>
      <c r="Q2748" t="n">
        <v>-45</v>
      </c>
      <c r="R2748" t="n">
        <v>0.0547</v>
      </c>
      <c r="S2748">
        <f>IMAGE("https://mitra.stanford.edu/kundaje/oak/projects/neuro-variants/variant_position/credible/roussos_2024/variant_figures/roussos_2024.adolescence.Astrocyte/rs2925312_count_position.png",4,220,900)</f>
        <v/>
      </c>
      <c r="T2748">
        <f>IMAGE("https://mitra.stanford.edu/kundaje/oak/projects/neuro-variants/variant_position/credible/roussos_2024/variant_figures/roussos_2024.adolescence.Astrocyte/rs2925312_profile_position.png",4,220,900)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0.0240998064</v>
      </c>
      <c r="G2749" t="n">
        <v>0.4816639888373948</v>
      </c>
      <c r="H2749" t="n">
        <v>0.0099005392082864</v>
      </c>
      <c r="I2749" t="n">
        <v>0.7716724133674226</v>
      </c>
      <c r="J2749" t="n">
        <v>0.0192453194077678</v>
      </c>
      <c r="K2749" t="n">
        <v>0.5805303274925511</v>
      </c>
      <c r="L2749" t="b">
        <v>0</v>
      </c>
      <c r="M2749" t="b">
        <v>0</v>
      </c>
      <c r="N2749" t="inlineStr">
        <is>
          <t>alt</t>
        </is>
      </c>
      <c r="O2749" t="n">
        <v>-15</v>
      </c>
      <c r="P2749" t="n">
        <v>0.004364</v>
      </c>
      <c r="Q2749" t="n">
        <v>50</v>
      </c>
      <c r="R2749" t="n">
        <v>0.09467</v>
      </c>
      <c r="S2749">
        <f>IMAGE("https://mitra.stanford.edu/kundaje/oak/projects/neuro-variants/variant_position/credible/roussos_2024/variant_figures/roussos_2024.adolescence.Astrocyte/rs843852_count_position.png",4,220,900)</f>
        <v/>
      </c>
      <c r="T2749">
        <f>IMAGE("https://mitra.stanford.edu/kundaje/oak/projects/neuro-variants/variant_position/credible/roussos_2024/variant_figures/roussos_2024.adolescence.Astrocyte/rs843852_profile_position.png",4,220,900)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-0.155908206</v>
      </c>
      <c r="G2750" t="n">
        <v>0.0353078016744142</v>
      </c>
      <c r="H2750" t="n">
        <v>0.0162624565068388</v>
      </c>
      <c r="I2750" t="n">
        <v>0.2579544765447323</v>
      </c>
      <c r="J2750" t="n">
        <v>0.0020806753108031</v>
      </c>
      <c r="K2750" t="n">
        <v>0.8440253861402478</v>
      </c>
      <c r="L2750" t="b">
        <v>0</v>
      </c>
      <c r="M2750" t="b">
        <v>0</v>
      </c>
      <c r="N2750" t="inlineStr">
        <is>
          <t>ref</t>
        </is>
      </c>
      <c r="O2750" t="n">
        <v>-95</v>
      </c>
      <c r="P2750" t="n">
        <v>0.01256</v>
      </c>
      <c r="Q2750" t="n">
        <v>50</v>
      </c>
      <c r="R2750" t="n">
        <v>0.1257</v>
      </c>
      <c r="S2750">
        <f>IMAGE("https://mitra.stanford.edu/kundaje/oak/projects/neuro-variants/variant_position/credible/roussos_2024/variant_figures/roussos_2024.adolescence.Astrocyte/rs1093464_count_position.png",4,220,900)</f>
        <v/>
      </c>
      <c r="T2750">
        <f>IMAGE("https://mitra.stanford.edu/kundaje/oak/projects/neuro-variants/variant_position/credible/roussos_2024/variant_figures/roussos_2024.adolescence.Astrocyte/rs1093464_profile_position.png",4,220,900)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-0.051290238</v>
      </c>
      <c r="G2751" t="n">
        <v>0.2390712000381404</v>
      </c>
      <c r="H2751" t="n">
        <v>0.0127647544741349</v>
      </c>
      <c r="I2751" t="n">
        <v>0.4889378373712718</v>
      </c>
      <c r="J2751" t="n">
        <v>0.0014486840934041</v>
      </c>
      <c r="K2751" t="n">
        <v>0.8635806446791516</v>
      </c>
      <c r="L2751" t="b">
        <v>0</v>
      </c>
      <c r="M2751" t="b">
        <v>0</v>
      </c>
      <c r="N2751" t="inlineStr">
        <is>
          <t>ref</t>
        </is>
      </c>
      <c r="O2751" t="n">
        <v>65</v>
      </c>
      <c r="P2751" t="n">
        <v>0.05518</v>
      </c>
      <c r="Q2751" t="n">
        <v>-55</v>
      </c>
      <c r="R2751" t="n">
        <v>0.1538</v>
      </c>
      <c r="S2751">
        <f>IMAGE("https://mitra.stanford.edu/kundaje/oak/projects/neuro-variants/variant_position/credible/roussos_2024/variant_figures/roussos_2024.adolescence.Astrocyte/rs846184_count_position.png",4,220,900)</f>
        <v/>
      </c>
      <c r="T2751">
        <f>IMAGE("https://mitra.stanford.edu/kundaje/oak/projects/neuro-variants/variant_position/credible/roussos_2024/variant_figures/roussos_2024.adolescence.Astrocyte/rs846184_profile_position.png",4,220,900)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0.149842438</v>
      </c>
      <c r="G2752" t="n">
        <v>0.0368109503361733</v>
      </c>
      <c r="H2752" t="n">
        <v>0.0142547373468282</v>
      </c>
      <c r="I2752" t="n">
        <v>0.3732172477436608</v>
      </c>
      <c r="J2752" t="n">
        <v>0.0009895261549416</v>
      </c>
      <c r="K2752" t="n">
        <v>0.8864075301966656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0.01163</v>
      </c>
      <c r="Q2752" t="n">
        <v>-60</v>
      </c>
      <c r="R2752" t="n">
        <v>0.02704</v>
      </c>
      <c r="S2752">
        <f>IMAGE("https://mitra.stanford.edu/kundaje/oak/projects/neuro-variants/variant_position/credible/roussos_2024/variant_figures/roussos_2024.adolescence.Astrocyte/rs1499976_count_position.png",4,220,900)</f>
        <v/>
      </c>
      <c r="T2752">
        <f>IMAGE("https://mitra.stanford.edu/kundaje/oak/projects/neuro-variants/variant_position/credible/roussos_2024/variant_figures/roussos_2024.adolescence.Astrocyte/rs1499976_profile_position.png",4,220,900)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0.32172944</v>
      </c>
      <c r="G2753" t="n">
        <v>0.0052393459227346</v>
      </c>
      <c r="H2753" t="n">
        <v>0.0600534722024727</v>
      </c>
      <c r="I2753" t="n">
        <v>0.0025119156670528</v>
      </c>
      <c r="J2753" t="n">
        <v>0.2160786873572085</v>
      </c>
      <c r="K2753" t="n">
        <v>0.1992023083671776</v>
      </c>
      <c r="L2753" t="b">
        <v>1</v>
      </c>
      <c r="M2753" t="b">
        <v>1</v>
      </c>
      <c r="N2753" t="inlineStr">
        <is>
          <t>alt</t>
        </is>
      </c>
      <c r="O2753" t="n">
        <v>65</v>
      </c>
      <c r="P2753" t="n">
        <v>0.004456</v>
      </c>
      <c r="Q2753" t="n">
        <v>-30</v>
      </c>
      <c r="R2753" t="n">
        <v>0.02533</v>
      </c>
      <c r="S2753">
        <f>IMAGE("https://mitra.stanford.edu/kundaje/oak/projects/neuro-variants/variant_position/credible/roussos_2024/variant_figures/roussos_2024.adolescence.Astrocyte/rs7612065_count_position.png",4,220,900)</f>
        <v/>
      </c>
      <c r="T2753">
        <f>IMAGE("https://mitra.stanford.edu/kundaje/oak/projects/neuro-variants/variant_position/credible/roussos_2024/variant_figures/roussos_2024.adolescence.Astrocyte/rs7612065_profile_position.png",4,220,900)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0.0292504213999999</v>
      </c>
      <c r="G2754" t="n">
        <v>0.4171651105670728</v>
      </c>
      <c r="H2754" t="n">
        <v>0.0533827802695603</v>
      </c>
      <c r="I2754" t="n">
        <v>0.0030636043096574</v>
      </c>
      <c r="J2754" t="n">
        <v>0.009929383140966599</v>
      </c>
      <c r="K2754" t="n">
        <v>0.6607995391028663</v>
      </c>
      <c r="L2754" t="b">
        <v>0</v>
      </c>
      <c r="M2754" t="b">
        <v>0</v>
      </c>
      <c r="N2754" t="inlineStr">
        <is>
          <t>alt</t>
        </is>
      </c>
      <c r="O2754" t="n">
        <v>-40</v>
      </c>
      <c r="P2754" t="n">
        <v>0.01422</v>
      </c>
      <c r="Q2754" t="n">
        <v>75</v>
      </c>
      <c r="R2754" t="n">
        <v>0.1571</v>
      </c>
      <c r="S2754">
        <f>IMAGE("https://mitra.stanford.edu/kundaje/oak/projects/neuro-variants/variant_position/credible/roussos_2024/variant_figures/roussos_2024.adolescence.Astrocyte/rs6439112_count_position.png",4,220,900)</f>
        <v/>
      </c>
      <c r="T2754">
        <f>IMAGE("https://mitra.stanford.edu/kundaje/oak/projects/neuro-variants/variant_position/credible/roussos_2024/variant_figures/roussos_2024.adolescence.Astrocyte/rs6439112_profile_position.png",4,220,900)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0.08330168960000001</v>
      </c>
      <c r="G2755" t="n">
        <v>0.1299853575504982</v>
      </c>
      <c r="H2755" t="n">
        <v>0.015401644379698</v>
      </c>
      <c r="I2755" t="n">
        <v>0.3001120048468753</v>
      </c>
      <c r="J2755" t="n">
        <v>0.1883037118357415</v>
      </c>
      <c r="K2755" t="n">
        <v>0.2285222225071541</v>
      </c>
      <c r="L2755" t="b">
        <v>0</v>
      </c>
      <c r="M2755" t="b">
        <v>0</v>
      </c>
      <c r="N2755" t="inlineStr">
        <is>
          <t>alt</t>
        </is>
      </c>
      <c r="O2755" t="n">
        <v>-100</v>
      </c>
      <c r="P2755" t="n">
        <v>0.01034</v>
      </c>
      <c r="Q2755" t="n">
        <v>85</v>
      </c>
      <c r="R2755" t="n">
        <v>0.3145</v>
      </c>
      <c r="S2755">
        <f>IMAGE("https://mitra.stanford.edu/kundaje/oak/projects/neuro-variants/variant_position/credible/roussos_2024/variant_figures/roussos_2024.adolescence.Astrocyte/rs4857866_count_position.png",4,220,900)</f>
        <v/>
      </c>
      <c r="T2755">
        <f>IMAGE("https://mitra.stanford.edu/kundaje/oak/projects/neuro-variants/variant_position/credible/roussos_2024/variant_figures/roussos_2024.adolescence.Astrocyte/rs4857866_profile_position.png",4,220,900)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-0.03038884724</v>
      </c>
      <c r="G2756" t="n">
        <v>0.3367591898023109</v>
      </c>
      <c r="H2756" t="n">
        <v>0.0228643296685086</v>
      </c>
      <c r="I2756" t="n">
        <v>0.0871866194192585</v>
      </c>
      <c r="J2756" t="n">
        <v>0.2576217250689849</v>
      </c>
      <c r="K2756" t="n">
        <v>0.1600370211571194</v>
      </c>
      <c r="L2756" t="b">
        <v>0</v>
      </c>
      <c r="M2756" t="b">
        <v>0</v>
      </c>
      <c r="N2756" t="inlineStr">
        <is>
          <t>ref</t>
        </is>
      </c>
      <c r="O2756" t="n">
        <v>60</v>
      </c>
      <c r="P2756" t="n">
        <v>0.010925</v>
      </c>
      <c r="Q2756" t="n">
        <v>65</v>
      </c>
      <c r="R2756" t="n">
        <v>0.2085</v>
      </c>
      <c r="S2756">
        <f>IMAGE("https://mitra.stanford.edu/kundaje/oak/projects/neuro-variants/variant_position/credible/roussos_2024/variant_figures/roussos_2024.adolescence.Astrocyte/rs2999052_count_position.png",4,220,900)</f>
        <v/>
      </c>
      <c r="T2756">
        <f>IMAGE("https://mitra.stanford.edu/kundaje/oak/projects/neuro-variants/variant_position/credible/roussos_2024/variant_figures/roussos_2024.adolescence.Astrocyte/rs2999052_profile_position.png",4,220,900)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0.01336289718</v>
      </c>
      <c r="G2757" t="n">
        <v>0.514192872447963</v>
      </c>
      <c r="H2757" t="n">
        <v>0.0106925063800132</v>
      </c>
      <c r="I2757" t="n">
        <v>0.681881283121159</v>
      </c>
      <c r="J2757" t="n">
        <v>0.0109923448951131</v>
      </c>
      <c r="K2757" t="n">
        <v>0.6548958450230077</v>
      </c>
      <c r="L2757" t="b">
        <v>0</v>
      </c>
      <c r="M2757" t="b">
        <v>0</v>
      </c>
      <c r="N2757" t="inlineStr">
        <is>
          <t>alt</t>
        </is>
      </c>
      <c r="O2757" t="n">
        <v>-95</v>
      </c>
      <c r="P2757" t="n">
        <v>0.02707</v>
      </c>
      <c r="Q2757" t="n">
        <v>5</v>
      </c>
      <c r="R2757" t="n">
        <v>0.003662</v>
      </c>
      <c r="S2757">
        <f>IMAGE("https://mitra.stanford.edu/kundaje/oak/projects/neuro-variants/variant_position/credible/roussos_2024/variant_figures/roussos_2024.adolescence.Astrocyte/rs2687729_count_position.png",4,220,900)</f>
        <v/>
      </c>
      <c r="T2757">
        <f>IMAGE("https://mitra.stanford.edu/kundaje/oak/projects/neuro-variants/variant_position/credible/roussos_2024/variant_figures/roussos_2024.adolescence.Astrocyte/rs2687729_profile_position.png",4,220,900)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-0.0047946592599999</v>
      </c>
      <c r="G2758" t="n">
        <v>0.8196138141308473</v>
      </c>
      <c r="H2758" t="n">
        <v>0.0301878729770241</v>
      </c>
      <c r="I2758" t="n">
        <v>0.0305488566739804</v>
      </c>
      <c r="J2758" t="n">
        <v>0.0020754828946977</v>
      </c>
      <c r="K2758" t="n">
        <v>0.8331609052741371</v>
      </c>
      <c r="L2758" t="b">
        <v>0</v>
      </c>
      <c r="M2758" t="b">
        <v>0</v>
      </c>
      <c r="N2758" t="inlineStr">
        <is>
          <t>ref</t>
        </is>
      </c>
      <c r="O2758" t="n">
        <v>-15</v>
      </c>
      <c r="P2758" t="n">
        <v>0.01672</v>
      </c>
      <c r="Q2758" t="n">
        <v>-20</v>
      </c>
      <c r="R2758" t="n">
        <v>0.05096</v>
      </c>
      <c r="S2758">
        <f>IMAGE("https://mitra.stanford.edu/kundaje/oak/projects/neuro-variants/variant_position/credible/roussos_2024/variant_figures/roussos_2024.adolescence.Astrocyte/rs2999059_count_position.png",4,220,900)</f>
        <v/>
      </c>
      <c r="T2758">
        <f>IMAGE("https://mitra.stanford.edu/kundaje/oak/projects/neuro-variants/variant_position/credible/roussos_2024/variant_figures/roussos_2024.adolescence.Astrocyte/rs2999059_profile_position.png",4,220,900)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-0.217884848</v>
      </c>
      <c r="G2759" t="n">
        <v>0.0147042179332594</v>
      </c>
      <c r="H2759" t="n">
        <v>0.0244512113246495</v>
      </c>
      <c r="I2759" t="n">
        <v>0.0729243067028239</v>
      </c>
      <c r="J2759" t="n">
        <v>0.6369551671957987</v>
      </c>
      <c r="K2759" t="n">
        <v>0.0270836726445617</v>
      </c>
      <c r="L2759" t="b">
        <v>1</v>
      </c>
      <c r="M2759" t="b">
        <v>0</v>
      </c>
      <c r="N2759" t="inlineStr">
        <is>
          <t>ref</t>
        </is>
      </c>
      <c r="O2759" t="n">
        <v>20</v>
      </c>
      <c r="P2759" t="n">
        <v>0.001892</v>
      </c>
      <c r="Q2759" t="n">
        <v>-20</v>
      </c>
      <c r="R2759" t="n">
        <v>0.07666000000000001</v>
      </c>
      <c r="S2759">
        <f>IMAGE("https://mitra.stanford.edu/kundaje/oak/projects/neuro-variants/variant_position/credible/roussos_2024/variant_figures/roussos_2024.adolescence.Astrocyte/rs940062_count_position.png",4,220,900)</f>
        <v/>
      </c>
      <c r="T2759">
        <f>IMAGE("https://mitra.stanford.edu/kundaje/oak/projects/neuro-variants/variant_position/credible/roussos_2024/variant_figures/roussos_2024.adolescence.Astrocyte/rs940062_profile_position.png",4,220,900)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0.0208009094</v>
      </c>
      <c r="G2760" t="n">
        <v>0.4579892543661217</v>
      </c>
      <c r="H2760" t="n">
        <v>0.009862044504003801</v>
      </c>
      <c r="I2760" t="n">
        <v>0.7780849827814552</v>
      </c>
      <c r="J2760" t="n">
        <v>0.0356585467169094</v>
      </c>
      <c r="K2760" t="n">
        <v>0.4991939780325448</v>
      </c>
      <c r="L2760" t="b">
        <v>0</v>
      </c>
      <c r="M2760" t="b">
        <v>0</v>
      </c>
      <c r="N2760" t="inlineStr">
        <is>
          <t>alt</t>
        </is>
      </c>
      <c r="O2760" t="n">
        <v>30</v>
      </c>
      <c r="P2760" t="n">
        <v>0.007523</v>
      </c>
      <c r="Q2760" t="n">
        <v>-100</v>
      </c>
      <c r="R2760" t="n">
        <v>0.07480000000000001</v>
      </c>
      <c r="S2760">
        <f>IMAGE("https://mitra.stanford.edu/kundaje/oak/projects/neuro-variants/variant_position/credible/roussos_2024/variant_figures/roussos_2024.adolescence.Astrocyte/rs2999058_count_position.png",4,220,900)</f>
        <v/>
      </c>
      <c r="T2760">
        <f>IMAGE("https://mitra.stanford.edu/kundaje/oak/projects/neuro-variants/variant_position/credible/roussos_2024/variant_figures/roussos_2024.adolescence.Astrocyte/rs2999058_profile_position.png",4,220,900)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0.07951465991999999</v>
      </c>
      <c r="G2761" t="n">
        <v>0.1263881996021706</v>
      </c>
      <c r="H2761" t="n">
        <v>0.0127357068864122</v>
      </c>
      <c r="I2761" t="n">
        <v>0.4836255547703808</v>
      </c>
      <c r="J2761" t="n">
        <v>0.1313154615316143</v>
      </c>
      <c r="K2761" t="n">
        <v>0.2786572943628002</v>
      </c>
      <c r="L2761" t="b">
        <v>0</v>
      </c>
      <c r="M2761" t="b">
        <v>0</v>
      </c>
      <c r="N2761" t="inlineStr">
        <is>
          <t>alt</t>
        </is>
      </c>
      <c r="O2761" t="n">
        <v>100</v>
      </c>
      <c r="P2761" t="n">
        <v>0.00496</v>
      </c>
      <c r="Q2761" t="n">
        <v>40</v>
      </c>
      <c r="R2761" t="n">
        <v>0.10156</v>
      </c>
      <c r="S2761">
        <f>IMAGE("https://mitra.stanford.edu/kundaje/oak/projects/neuro-variants/variant_position/credible/roussos_2024/variant_figures/roussos_2024.adolescence.Astrocyte/rs2955125_count_position.png",4,220,900)</f>
        <v/>
      </c>
      <c r="T2761">
        <f>IMAGE("https://mitra.stanford.edu/kundaje/oak/projects/neuro-variants/variant_position/credible/roussos_2024/variant_figures/roussos_2024.adolescence.Astrocyte/rs2955125_profile_position.png",4,220,900)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-0.191261782</v>
      </c>
      <c r="G2762" t="n">
        <v>0.0219421582267969</v>
      </c>
      <c r="H2762" t="n">
        <v>0.0312366561325419</v>
      </c>
      <c r="I2762" t="n">
        <v>0.0274855446357479</v>
      </c>
      <c r="J2762" t="n">
        <v>0.337090911788268</v>
      </c>
      <c r="K2762" t="n">
        <v>0.11439960748274</v>
      </c>
      <c r="L2762" t="b">
        <v>0</v>
      </c>
      <c r="M2762" t="b">
        <v>0</v>
      </c>
      <c r="N2762" t="inlineStr">
        <is>
          <t>ref</t>
        </is>
      </c>
      <c r="O2762" t="n">
        <v>-50</v>
      </c>
      <c r="P2762" t="n">
        <v>0.006264</v>
      </c>
      <c r="Q2762" t="n">
        <v>85</v>
      </c>
      <c r="R2762" t="n">
        <v>0.03857</v>
      </c>
      <c r="S2762">
        <f>IMAGE("https://mitra.stanford.edu/kundaje/oak/projects/neuro-variants/variant_position/credible/roussos_2024/variant_figures/roussos_2024.adolescence.Astrocyte/rs2955127_count_position.png",4,220,900)</f>
        <v/>
      </c>
      <c r="T2762">
        <f>IMAGE("https://mitra.stanford.edu/kundaje/oak/projects/neuro-variants/variant_position/credible/roussos_2024/variant_figures/roussos_2024.adolescence.Astrocyte/rs2955127_profile_position.png",4,220,900)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0.008816052</v>
      </c>
      <c r="G2763" t="n">
        <v>0.7239978269009895</v>
      </c>
      <c r="H2763" t="n">
        <v>0.012403179399008</v>
      </c>
      <c r="I2763" t="n">
        <v>0.5204418936101621</v>
      </c>
      <c r="J2763" t="n">
        <v>0.0199566804142063</v>
      </c>
      <c r="K2763" t="n">
        <v>0.5744992220842619</v>
      </c>
      <c r="L2763" t="b">
        <v>0</v>
      </c>
      <c r="M2763" t="b">
        <v>0</v>
      </c>
      <c r="N2763" t="inlineStr">
        <is>
          <t>alt</t>
        </is>
      </c>
      <c r="O2763" t="n">
        <v>85</v>
      </c>
      <c r="P2763" t="n">
        <v>0.03522</v>
      </c>
      <c r="Q2763" t="n">
        <v>-100</v>
      </c>
      <c r="R2763" t="n">
        <v>0.1263</v>
      </c>
      <c r="S2763">
        <f>IMAGE("https://mitra.stanford.edu/kundaje/oak/projects/neuro-variants/variant_position/credible/roussos_2024/variant_figures/roussos_2024.adolescence.Astrocyte/rs2955128_count_position.png",4,220,900)</f>
        <v/>
      </c>
      <c r="T2763">
        <f>IMAGE("https://mitra.stanford.edu/kundaje/oak/projects/neuro-variants/variant_position/credible/roussos_2024/variant_figures/roussos_2024.adolescence.Astrocyte/rs2955128_profile_position.png",4,220,900)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-0.235139552</v>
      </c>
      <c r="G2764" t="n">
        <v>0.0126805029935547</v>
      </c>
      <c r="H2764" t="n">
        <v>0.0350881287276857</v>
      </c>
      <c r="I2764" t="n">
        <v>0.016885936945101</v>
      </c>
      <c r="J2764" t="n">
        <v>0.2654444708186215</v>
      </c>
      <c r="K2764" t="n">
        <v>0.1543040694703035</v>
      </c>
      <c r="L2764" t="b">
        <v>1</v>
      </c>
      <c r="M2764" t="b">
        <v>0</v>
      </c>
      <c r="N2764" t="inlineStr">
        <is>
          <t>ref</t>
        </is>
      </c>
      <c r="O2764" t="n">
        <v>100</v>
      </c>
      <c r="P2764" t="n">
        <v>0.008030000000000001</v>
      </c>
      <c r="Q2764" t="n">
        <v>-25</v>
      </c>
      <c r="R2764" t="n">
        <v>0.1221</v>
      </c>
      <c r="S2764">
        <f>IMAGE("https://mitra.stanford.edu/kundaje/oak/projects/neuro-variants/variant_position/credible/roussos_2024/variant_figures/roussos_2024.adolescence.Astrocyte/rs4384971_count_position.png",4,220,900)</f>
        <v/>
      </c>
      <c r="T2764">
        <f>IMAGE("https://mitra.stanford.edu/kundaje/oak/projects/neuro-variants/variant_position/credible/roussos_2024/variant_figures/roussos_2024.adolescence.Astrocyte/rs4384971_profile_position.png",4,220,900)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-2.655680000000008e-05</v>
      </c>
      <c r="G2765" t="n">
        <v>0.8276616875764662</v>
      </c>
      <c r="H2765" t="n">
        <v>0.007812577100359101</v>
      </c>
      <c r="I2765" t="n">
        <v>0.9419718277793638</v>
      </c>
      <c r="J2765" t="n">
        <v>0.1933247782096548</v>
      </c>
      <c r="K2765" t="n">
        <v>0.2116980262816307</v>
      </c>
      <c r="L2765" t="b">
        <v>0</v>
      </c>
      <c r="M2765" t="b">
        <v>0</v>
      </c>
      <c r="N2765" t="inlineStr">
        <is>
          <t>ref</t>
        </is>
      </c>
      <c r="O2765" t="n">
        <v>100</v>
      </c>
      <c r="P2765" t="n">
        <v>0.003056</v>
      </c>
      <c r="Q2765" t="n">
        <v>20</v>
      </c>
      <c r="R2765" t="n">
        <v>0.0466</v>
      </c>
      <c r="S2765">
        <f>IMAGE("https://mitra.stanford.edu/kundaje/oak/projects/neuro-variants/variant_position/credible/roussos_2024/variant_figures/roussos_2024.adolescence.Astrocyte/rs6775988_count_position.png",4,220,900)</f>
        <v/>
      </c>
      <c r="T2765">
        <f>IMAGE("https://mitra.stanford.edu/kundaje/oak/projects/neuro-variants/variant_position/credible/roussos_2024/variant_figures/roussos_2024.adolescence.Astrocyte/rs6775988_profile_position.png",4,220,900)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0.159736424</v>
      </c>
      <c r="G2766" t="n">
        <v>0.0321776745881122</v>
      </c>
      <c r="H2766" t="n">
        <v>0.019724620738438</v>
      </c>
      <c r="I2766" t="n">
        <v>0.1476706677976437</v>
      </c>
      <c r="J2766" t="n">
        <v>0.272707177402605</v>
      </c>
      <c r="K2766" t="n">
        <v>0.1501163790290199</v>
      </c>
      <c r="L2766" t="b">
        <v>0</v>
      </c>
      <c r="M2766" t="b">
        <v>0</v>
      </c>
      <c r="N2766" t="inlineStr">
        <is>
          <t>alt</t>
        </is>
      </c>
      <c r="O2766" t="n">
        <v>50</v>
      </c>
      <c r="P2766" t="n">
        <v>0.00271</v>
      </c>
      <c r="Q2766" t="n">
        <v>55</v>
      </c>
      <c r="R2766" t="n">
        <v>0.03125</v>
      </c>
      <c r="S2766">
        <f>IMAGE("https://mitra.stanford.edu/kundaje/oak/projects/neuro-variants/variant_position/credible/roussos_2024/variant_figures/roussos_2024.adolescence.Astrocyte/rs4857877_count_position.png",4,220,900)</f>
        <v/>
      </c>
      <c r="T2766">
        <f>IMAGE("https://mitra.stanford.edu/kundaje/oak/projects/neuro-variants/variant_position/credible/roussos_2024/variant_figures/roussos_2024.adolescence.Astrocyte/rs4857877_profile_position.png",4,220,900)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-0.0169322188999999</v>
      </c>
      <c r="G2767" t="n">
        <v>0.6123847420756546</v>
      </c>
      <c r="H2767" t="n">
        <v>0.0313386009730931</v>
      </c>
      <c r="I2767" t="n">
        <v>0.0260514407522554</v>
      </c>
      <c r="J2767" t="n">
        <v>0.0194018336646589</v>
      </c>
      <c r="K2767" t="n">
        <v>0.5940890450324607</v>
      </c>
      <c r="L2767" t="b">
        <v>0</v>
      </c>
      <c r="M2767" t="b">
        <v>0</v>
      </c>
      <c r="N2767" t="inlineStr">
        <is>
          <t>ref</t>
        </is>
      </c>
      <c r="O2767" t="n">
        <v>-100</v>
      </c>
      <c r="P2767" t="n">
        <v>0.003448</v>
      </c>
      <c r="Q2767" t="n">
        <v>-85</v>
      </c>
      <c r="R2767" t="n">
        <v>0.02039</v>
      </c>
      <c r="S2767">
        <f>IMAGE("https://mitra.stanford.edu/kundaje/oak/projects/neuro-variants/variant_position/credible/roussos_2024/variant_figures/roussos_2024.adolescence.Astrocyte/rs3849531_count_position.png",4,220,900)</f>
        <v/>
      </c>
      <c r="T2767">
        <f>IMAGE("https://mitra.stanford.edu/kundaje/oak/projects/neuro-variants/variant_position/credible/roussos_2024/variant_figures/roussos_2024.adolescence.Astrocyte/rs3849531_profile_position.png",4,220,900)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0.00477598692</v>
      </c>
      <c r="G2768" t="n">
        <v>0.762603679273034</v>
      </c>
      <c r="H2768" t="n">
        <v>0.0306204896939407</v>
      </c>
      <c r="I2768" t="n">
        <v>0.0287748973803289</v>
      </c>
      <c r="J2768" t="n">
        <v>0.0064141174376167</v>
      </c>
      <c r="K2768" t="n">
        <v>0.7180940918184101</v>
      </c>
      <c r="L2768" t="b">
        <v>0</v>
      </c>
      <c r="M2768" t="b">
        <v>0</v>
      </c>
      <c r="N2768" t="inlineStr">
        <is>
          <t>alt</t>
        </is>
      </c>
      <c r="O2768" t="n">
        <v>-100</v>
      </c>
      <c r="P2768" t="n">
        <v>0.002312</v>
      </c>
      <c r="Q2768" t="n">
        <v>100</v>
      </c>
      <c r="R2768" t="n">
        <v>0.03812</v>
      </c>
      <c r="S2768">
        <f>IMAGE("https://mitra.stanford.edu/kundaje/oak/projects/neuro-variants/variant_position/credible/roussos_2024/variant_figures/roussos_2024.adolescence.Astrocyte/rs1403770_count_position.png",4,220,900)</f>
        <v/>
      </c>
      <c r="T2768">
        <f>IMAGE("https://mitra.stanford.edu/kundaje/oak/projects/neuro-variants/variant_position/credible/roussos_2024/variant_figures/roussos_2024.adolescence.Astrocyte/rs1403770_profile_position.png",4,220,900)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0.184846514</v>
      </c>
      <c r="G2769" t="n">
        <v>0.0315008598765643</v>
      </c>
      <c r="H2769" t="n">
        <v>0.0231314579178529</v>
      </c>
      <c r="I2769" t="n">
        <v>0.0840617731976489</v>
      </c>
      <c r="J2769" t="n">
        <v>0.9775479927602884</v>
      </c>
      <c r="K2769" t="n">
        <v>1.698526183587508e-05</v>
      </c>
      <c r="L2769" t="b">
        <v>0</v>
      </c>
      <c r="M2769" t="b">
        <v>0</v>
      </c>
      <c r="N2769" t="inlineStr">
        <is>
          <t>alt</t>
        </is>
      </c>
      <c r="O2769" t="n">
        <v>85</v>
      </c>
      <c r="P2769" t="n">
        <v>0.01196</v>
      </c>
      <c r="Q2769" t="n">
        <v>85</v>
      </c>
      <c r="R2769" t="n">
        <v>0.02734</v>
      </c>
      <c r="S2769">
        <f>IMAGE("https://mitra.stanford.edu/kundaje/oak/projects/neuro-variants/variant_position/credible/roussos_2024/variant_figures/roussos_2024.adolescence.Astrocyte/rs184442184_count_position.png",4,220,900)</f>
        <v/>
      </c>
      <c r="T2769">
        <f>IMAGE("https://mitra.stanford.edu/kundaje/oak/projects/neuro-variants/variant_position/credible/roussos_2024/variant_figures/roussos_2024.adolescence.Astrocyte/rs184442184_profile_position.png",4,220,900)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-0.1364955848</v>
      </c>
      <c r="G2770" t="n">
        <v>0.0445330131487119</v>
      </c>
      <c r="H2770" t="n">
        <v>0.0144189262527478</v>
      </c>
      <c r="I2770" t="n">
        <v>0.3602143270777306</v>
      </c>
      <c r="J2770" t="n">
        <v>0.0986892858202533</v>
      </c>
      <c r="K2770" t="n">
        <v>0.3314881915705994</v>
      </c>
      <c r="L2770" t="b">
        <v>0</v>
      </c>
      <c r="M2770" t="b">
        <v>0</v>
      </c>
      <c r="N2770" t="inlineStr">
        <is>
          <t>ref</t>
        </is>
      </c>
      <c r="O2770" t="n">
        <v>75</v>
      </c>
      <c r="P2770" t="n">
        <v>0.01408</v>
      </c>
      <c r="Q2770" t="n">
        <v>65</v>
      </c>
      <c r="R2770" t="n">
        <v>0.2886</v>
      </c>
      <c r="S2770">
        <f>IMAGE("https://mitra.stanford.edu/kundaje/oak/projects/neuro-variants/variant_position/credible/roussos_2024/variant_figures/roussos_2024.adolescence.Astrocyte/rs9862763_count_position.png",4,220,900)</f>
        <v/>
      </c>
      <c r="T2770">
        <f>IMAGE("https://mitra.stanford.edu/kundaje/oak/projects/neuro-variants/variant_position/credible/roussos_2024/variant_figures/roussos_2024.adolescence.Astrocyte/rs9862763_profile_position.png",4,220,900)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0.01581891524</v>
      </c>
      <c r="G2771" t="n">
        <v>0.6215922591989803</v>
      </c>
      <c r="H2771" t="n">
        <v>0.0184701044067509</v>
      </c>
      <c r="I2771" t="n">
        <v>0.1777449256394961</v>
      </c>
      <c r="J2771" t="n">
        <v>0.2264234637866065</v>
      </c>
      <c r="K2771" t="n">
        <v>0.1818814767027824</v>
      </c>
      <c r="L2771" t="b">
        <v>0</v>
      </c>
      <c r="M2771" t="b">
        <v>0</v>
      </c>
      <c r="N2771" t="inlineStr">
        <is>
          <t>alt</t>
        </is>
      </c>
      <c r="O2771" t="n">
        <v>-100</v>
      </c>
      <c r="P2771" t="n">
        <v>0.01559</v>
      </c>
      <c r="Q2771" t="n">
        <v>-100</v>
      </c>
      <c r="R2771" t="n">
        <v>0.176</v>
      </c>
      <c r="S2771">
        <f>IMAGE("https://mitra.stanford.edu/kundaje/oak/projects/neuro-variants/variant_position/credible/roussos_2024/variant_figures/roussos_2024.adolescence.Astrocyte/rs9836374_count_position.png",4,220,900)</f>
        <v/>
      </c>
      <c r="T2771">
        <f>IMAGE("https://mitra.stanford.edu/kundaje/oak/projects/neuro-variants/variant_position/credible/roussos_2024/variant_figures/roussos_2024.adolescence.Astrocyte/rs9836374_profile_position.png",4,220,900)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-0.1069087076</v>
      </c>
      <c r="G2772" t="n">
        <v>0.0772874911820859</v>
      </c>
      <c r="H2772" t="n">
        <v>0.0149552213836921</v>
      </c>
      <c r="I2772" t="n">
        <v>0.3342288302497796</v>
      </c>
      <c r="J2772" t="n">
        <v>0.0995994421861555</v>
      </c>
      <c r="K2772" t="n">
        <v>0.3251380977885914</v>
      </c>
      <c r="L2772" t="b">
        <v>0</v>
      </c>
      <c r="M2772" t="b">
        <v>0</v>
      </c>
      <c r="N2772" t="inlineStr">
        <is>
          <t>ref</t>
        </is>
      </c>
      <c r="O2772" t="n">
        <v>-100</v>
      </c>
      <c r="P2772" t="n">
        <v>0.007446</v>
      </c>
      <c r="Q2772" t="n">
        <v>65</v>
      </c>
      <c r="R2772" t="n">
        <v>0.03796</v>
      </c>
      <c r="S2772">
        <f>IMAGE("https://mitra.stanford.edu/kundaje/oak/projects/neuro-variants/variant_position/credible/roussos_2024/variant_figures/roussos_2024.adolescence.Astrocyte/rs34311570_count_position.png",4,220,900)</f>
        <v/>
      </c>
      <c r="T2772">
        <f>IMAGE("https://mitra.stanford.edu/kundaje/oak/projects/neuro-variants/variant_position/credible/roussos_2024/variant_figures/roussos_2024.adolescence.Astrocyte/rs34311570_profile_position.png",4,220,900)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0.0352888016</v>
      </c>
      <c r="G2773" t="n">
        <v>0.3559080273346958</v>
      </c>
      <c r="H2773" t="n">
        <v>0.0201301543413558</v>
      </c>
      <c r="I2773" t="n">
        <v>0.1346703225705134</v>
      </c>
      <c r="J2773" t="n">
        <v>0.0392361214135239</v>
      </c>
      <c r="K2773" t="n">
        <v>0.4714794551710183</v>
      </c>
      <c r="L2773" t="b">
        <v>0</v>
      </c>
      <c r="M2773" t="b">
        <v>0</v>
      </c>
      <c r="N2773" t="inlineStr">
        <is>
          <t>alt</t>
        </is>
      </c>
      <c r="O2773" t="n">
        <v>-100</v>
      </c>
      <c r="P2773" t="n">
        <v>0.02457</v>
      </c>
      <c r="Q2773" t="n">
        <v>-80</v>
      </c>
      <c r="R2773" t="n">
        <v>0.1517</v>
      </c>
      <c r="S2773">
        <f>IMAGE("https://mitra.stanford.edu/kundaje/oak/projects/neuro-variants/variant_position/credible/roussos_2024/variant_figures/roussos_2024.adolescence.Astrocyte/rs6809006_count_position.png",4,220,900)</f>
        <v/>
      </c>
      <c r="T2773">
        <f>IMAGE("https://mitra.stanford.edu/kundaje/oak/projects/neuro-variants/variant_position/credible/roussos_2024/variant_figures/roussos_2024.adolescence.Astrocyte/rs6809006_profile_position.png",4,220,900)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-0.0282143682</v>
      </c>
      <c r="G2774" t="n">
        <v>0.4360673042024953</v>
      </c>
      <c r="H2774" t="n">
        <v>0.0221583522909095</v>
      </c>
      <c r="I2774" t="n">
        <v>0.09685500826294639</v>
      </c>
      <c r="J2774" t="n">
        <v>0.0024574963653087</v>
      </c>
      <c r="K2774" t="n">
        <v>0.8158774952850664</v>
      </c>
      <c r="L2774" t="b">
        <v>0</v>
      </c>
      <c r="M2774" t="b">
        <v>0</v>
      </c>
      <c r="N2774" t="inlineStr">
        <is>
          <t>ref</t>
        </is>
      </c>
      <c r="O2774" t="n">
        <v>10</v>
      </c>
      <c r="P2774" t="n">
        <v>0.000946</v>
      </c>
      <c r="Q2774" t="n">
        <v>-95</v>
      </c>
      <c r="R2774" t="n">
        <v>0.065</v>
      </c>
      <c r="S2774">
        <f>IMAGE("https://mitra.stanford.edu/kundaje/oak/projects/neuro-variants/variant_position/credible/roussos_2024/variant_figures/roussos_2024.adolescence.Astrocyte/rs4073308_count_position.png",4,220,900)</f>
        <v/>
      </c>
      <c r="T2774">
        <f>IMAGE("https://mitra.stanford.edu/kundaje/oak/projects/neuro-variants/variant_position/credible/roussos_2024/variant_figures/roussos_2024.adolescence.Astrocyte/rs4073308_profile_position.png",4,220,900)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-0.00308545144</v>
      </c>
      <c r="G2775" t="n">
        <v>0.7654887768708387</v>
      </c>
      <c r="H2775" t="n">
        <v>0.0200954224725054</v>
      </c>
      <c r="I2775" t="n">
        <v>0.1364154203275336</v>
      </c>
      <c r="J2775" t="n">
        <v>0.0004176186096192</v>
      </c>
      <c r="K2775" t="n">
        <v>0.9252856812193032</v>
      </c>
      <c r="L2775" t="b">
        <v>0</v>
      </c>
      <c r="M2775" t="b">
        <v>0</v>
      </c>
      <c r="N2775" t="inlineStr">
        <is>
          <t>ref</t>
        </is>
      </c>
      <c r="O2775" t="n">
        <v>95</v>
      </c>
      <c r="P2775" t="n">
        <v>0.005127</v>
      </c>
      <c r="Q2775" t="n">
        <v>5</v>
      </c>
      <c r="R2775" t="n">
        <v>0.000977</v>
      </c>
      <c r="S2775">
        <f>IMAGE("https://mitra.stanford.edu/kundaje/oak/projects/neuro-variants/variant_position/credible/roussos_2024/variant_figures/roussos_2024.adolescence.Astrocyte/rs9877082_count_position.png",4,220,900)</f>
        <v/>
      </c>
      <c r="T2775">
        <f>IMAGE("https://mitra.stanford.edu/kundaje/oak/projects/neuro-variants/variant_position/credible/roussos_2024/variant_figures/roussos_2024.adolescence.Astrocyte/rs9877082_profile_position.png",4,220,900)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0.012991045944</v>
      </c>
      <c r="G2776" t="n">
        <v>0.6094191933228695</v>
      </c>
      <c r="H2776" t="n">
        <v>0.0217916741993892</v>
      </c>
      <c r="I2776" t="n">
        <v>0.1067079523880965</v>
      </c>
      <c r="J2776" t="n">
        <v>0.1029062694715603</v>
      </c>
      <c r="K2776" t="n">
        <v>0.3206282656850667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0.04547</v>
      </c>
      <c r="Q2776" t="n">
        <v>-100</v>
      </c>
      <c r="R2776" t="n">
        <v>0.1753</v>
      </c>
      <c r="S2776">
        <f>IMAGE("https://mitra.stanford.edu/kundaje/oak/projects/neuro-variants/variant_position/credible/roussos_2024/variant_figures/roussos_2024.adolescence.Astrocyte/rs7643661_count_position.png",4,220,900)</f>
        <v/>
      </c>
      <c r="T2776">
        <f>IMAGE("https://mitra.stanford.edu/kundaje/oak/projects/neuro-variants/variant_position/credible/roussos_2024/variant_figures/roussos_2024.adolescence.Astrocyte/rs7643661_profile_position.png",4,220,900)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-0.0548451905999999</v>
      </c>
      <c r="G2777" t="n">
        <v>0.2278907829684857</v>
      </c>
      <c r="H2777" t="n">
        <v>0.044401712520473</v>
      </c>
      <c r="I2777" t="n">
        <v>0.0062716915144231</v>
      </c>
      <c r="J2777" t="n">
        <v>0.0451695694745274</v>
      </c>
      <c r="K2777" t="n">
        <v>0.4501326070183077</v>
      </c>
      <c r="L2777" t="b">
        <v>1</v>
      </c>
      <c r="M2777" t="b">
        <v>0</v>
      </c>
      <c r="N2777" t="inlineStr">
        <is>
          <t>ref</t>
        </is>
      </c>
      <c r="O2777" t="n">
        <v>-65</v>
      </c>
      <c r="P2777" t="n">
        <v>0.010376</v>
      </c>
      <c r="Q2777" t="n">
        <v>10</v>
      </c>
      <c r="R2777" t="n">
        <v>0.01953</v>
      </c>
      <c r="S2777">
        <f>IMAGE("https://mitra.stanford.edu/kundaje/oak/projects/neuro-variants/variant_position/credible/roussos_2024/variant_figures/roussos_2024.adolescence.Astrocyte/rs9837355_count_position.png",4,220,900)</f>
        <v/>
      </c>
      <c r="T2777">
        <f>IMAGE("https://mitra.stanford.edu/kundaje/oak/projects/neuro-variants/variant_position/credible/roussos_2024/variant_figures/roussos_2024.adolescence.Astrocyte/rs9837355_profile_position.png",4,220,900)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-0.1009505038</v>
      </c>
      <c r="G2778" t="n">
        <v>0.07962634231594461</v>
      </c>
      <c r="H2778" t="n">
        <v>0.0163851567188433</v>
      </c>
      <c r="I2778" t="n">
        <v>0.2600327223890299</v>
      </c>
      <c r="J2778" t="n">
        <v>0.0101904874936948</v>
      </c>
      <c r="K2778" t="n">
        <v>0.675410146156034</v>
      </c>
      <c r="L2778" t="b">
        <v>0</v>
      </c>
      <c r="M2778" t="b">
        <v>0</v>
      </c>
      <c r="N2778" t="inlineStr">
        <is>
          <t>ref</t>
        </is>
      </c>
      <c r="O2778" t="n">
        <v>70</v>
      </c>
      <c r="P2778" t="n">
        <v>0.004383</v>
      </c>
      <c r="Q2778" t="n">
        <v>-80</v>
      </c>
      <c r="R2778" t="n">
        <v>0.357</v>
      </c>
      <c r="S2778">
        <f>IMAGE("https://mitra.stanford.edu/kundaje/oak/projects/neuro-variants/variant_position/credible/roussos_2024/variant_figures/roussos_2024.adolescence.Astrocyte/rs9880721_count_position.png",4,220,900)</f>
        <v/>
      </c>
      <c r="T2778">
        <f>IMAGE("https://mitra.stanford.edu/kundaje/oak/projects/neuro-variants/variant_position/credible/roussos_2024/variant_figures/roussos_2024.adolescence.Astrocyte/rs9880721_profile_position.png",4,220,900)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0.07940486699999991</v>
      </c>
      <c r="G2779" t="n">
        <v>0.1349202590986567</v>
      </c>
      <c r="H2779" t="n">
        <v>0.0131652016833181</v>
      </c>
      <c r="I2779" t="n">
        <v>0.4482396618627884</v>
      </c>
      <c r="J2779" t="n">
        <v>0.0180673827255733</v>
      </c>
      <c r="K2779" t="n">
        <v>0.5889525469580434</v>
      </c>
      <c r="L2779" t="b">
        <v>0</v>
      </c>
      <c r="M2779" t="b">
        <v>0</v>
      </c>
      <c r="N2779" t="inlineStr">
        <is>
          <t>alt</t>
        </is>
      </c>
      <c r="O2779" t="n">
        <v>-25</v>
      </c>
      <c r="P2779" t="n">
        <v>0.00349</v>
      </c>
      <c r="Q2779" t="n">
        <v>25</v>
      </c>
      <c r="R2779" t="n">
        <v>0.04138</v>
      </c>
      <c r="S2779">
        <f>IMAGE("https://mitra.stanford.edu/kundaje/oak/projects/neuro-variants/variant_position/credible/roussos_2024/variant_figures/roussos_2024.adolescence.Astrocyte/rs34864445_count_position.png",4,220,900)</f>
        <v/>
      </c>
      <c r="T2779">
        <f>IMAGE("https://mitra.stanford.edu/kundaje/oak/projects/neuro-variants/variant_position/credible/roussos_2024/variant_figures/roussos_2024.adolescence.Astrocyte/rs34864445_profile_position.png",4,220,900)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-0.0368921432</v>
      </c>
      <c r="G2780" t="n">
        <v>0.3674175295504256</v>
      </c>
      <c r="H2780" t="n">
        <v>0.009837631721665701</v>
      </c>
      <c r="I2780" t="n">
        <v>0.778034422649923</v>
      </c>
      <c r="J2780" t="n">
        <v>0.0269352876598521</v>
      </c>
      <c r="K2780" t="n">
        <v>0.5369483672233853</v>
      </c>
      <c r="L2780" t="b">
        <v>0</v>
      </c>
      <c r="M2780" t="b">
        <v>0</v>
      </c>
      <c r="N2780" t="inlineStr">
        <is>
          <t>ref</t>
        </is>
      </c>
      <c r="O2780" t="n">
        <v>-20</v>
      </c>
      <c r="P2780" t="n">
        <v>0.000269</v>
      </c>
      <c r="Q2780" t="n">
        <v>-15</v>
      </c>
      <c r="R2780" t="n">
        <v>0.04114</v>
      </c>
      <c r="S2780">
        <f>IMAGE("https://mitra.stanford.edu/kundaje/oak/projects/neuro-variants/variant_position/credible/roussos_2024/variant_figures/roussos_2024.adolescence.Astrocyte/rs9881400_count_position.png",4,220,900)</f>
        <v/>
      </c>
      <c r="T2780">
        <f>IMAGE("https://mitra.stanford.edu/kundaje/oak/projects/neuro-variants/variant_position/credible/roussos_2024/variant_figures/roussos_2024.adolescence.Astrocyte/rs9881400_profile_position.png",4,220,900)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0.0119365267</v>
      </c>
      <c r="G2781" t="n">
        <v>0.6382859887165239</v>
      </c>
      <c r="H2781" t="n">
        <v>0.021004919820047</v>
      </c>
      <c r="I2781" t="n">
        <v>0.1160944174018592</v>
      </c>
      <c r="J2781" t="n">
        <v>0.0465077292822597</v>
      </c>
      <c r="K2781" t="n">
        <v>0.4543042848699581</v>
      </c>
      <c r="L2781" t="b">
        <v>0</v>
      </c>
      <c r="M2781" t="b">
        <v>0</v>
      </c>
      <c r="N2781" t="inlineStr">
        <is>
          <t>alt</t>
        </is>
      </c>
      <c r="O2781" t="n">
        <v>-100</v>
      </c>
      <c r="P2781" t="n">
        <v>0.1594</v>
      </c>
      <c r="Q2781" t="n">
        <v>-90</v>
      </c>
      <c r="R2781" t="n">
        <v>0.2708</v>
      </c>
      <c r="S2781">
        <f>IMAGE("https://mitra.stanford.edu/kundaje/oak/projects/neuro-variants/variant_position/credible/roussos_2024/variant_figures/roussos_2024.adolescence.Astrocyte/rs6769762_count_position.png",4,220,900)</f>
        <v/>
      </c>
      <c r="T2781">
        <f>IMAGE("https://mitra.stanford.edu/kundaje/oak/projects/neuro-variants/variant_position/credible/roussos_2024/variant_figures/roussos_2024.adolescence.Astrocyte/rs6769762_profile_position.png",4,220,900)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-0.3292830519999999</v>
      </c>
      <c r="G2782" t="n">
        <v>0.0057078280778274</v>
      </c>
      <c r="H2782" t="n">
        <v>0.0494424671121484</v>
      </c>
      <c r="I2782" t="n">
        <v>0.0044992048741264</v>
      </c>
      <c r="J2782" t="n">
        <v>0.0260948580245081</v>
      </c>
      <c r="K2782" t="n">
        <v>0.5477741356988056</v>
      </c>
      <c r="L2782" t="b">
        <v>1</v>
      </c>
      <c r="M2782" t="b">
        <v>1</v>
      </c>
      <c r="N2782" t="inlineStr">
        <is>
          <t>ref</t>
        </is>
      </c>
      <c r="O2782" t="n">
        <v>-10</v>
      </c>
      <c r="P2782" t="n">
        <v>0.0008545</v>
      </c>
      <c r="Q2782" t="n">
        <v>-100</v>
      </c>
      <c r="R2782" t="n">
        <v>0.04736</v>
      </c>
      <c r="S2782">
        <f>IMAGE("https://mitra.stanford.edu/kundaje/oak/projects/neuro-variants/variant_position/credible/roussos_2024/variant_figures/roussos_2024.adolescence.Astrocyte/rs28631273_count_position.png",4,220,900)</f>
        <v/>
      </c>
      <c r="T2782">
        <f>IMAGE("https://mitra.stanford.edu/kundaje/oak/projects/neuro-variants/variant_position/credible/roussos_2024/variant_figures/roussos_2024.adolescence.Astrocyte/rs28631273_profile_position.png",4,220,900)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0.247799978</v>
      </c>
      <c r="G2783" t="n">
        <v>0.0130724098843145</v>
      </c>
      <c r="H2783" t="n">
        <v>0.0421566043731217</v>
      </c>
      <c r="I2783" t="n">
        <v>0.009448668141963001</v>
      </c>
      <c r="J2783" t="n">
        <v>0.0586757855383793</v>
      </c>
      <c r="K2783" t="n">
        <v>0.4148890291133314</v>
      </c>
      <c r="L2783" t="b">
        <v>1</v>
      </c>
      <c r="M2783" t="b">
        <v>1</v>
      </c>
      <c r="N2783" t="inlineStr">
        <is>
          <t>alt</t>
        </is>
      </c>
      <c r="O2783" t="n">
        <v>70</v>
      </c>
      <c r="P2783" t="n">
        <v>0.002422</v>
      </c>
      <c r="Q2783" t="n">
        <v>60</v>
      </c>
      <c r="R2783" t="n">
        <v>0.1187</v>
      </c>
      <c r="S2783">
        <f>IMAGE("https://mitra.stanford.edu/kundaje/oak/projects/neuro-variants/variant_position/credible/roussos_2024/variant_figures/roussos_2024.adolescence.Astrocyte/rs9826454_count_position.png",4,220,900)</f>
        <v/>
      </c>
      <c r="T2783">
        <f>IMAGE("https://mitra.stanford.edu/kundaje/oak/projects/neuro-variants/variant_position/credible/roussos_2024/variant_figures/roussos_2024.adolescence.Astrocyte/rs9826454_profile_position.png",4,220,900)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-0.0697736677</v>
      </c>
      <c r="G2784" t="n">
        <v>0.1684125104320952</v>
      </c>
      <c r="H2784" t="n">
        <v>0.0152414160229001</v>
      </c>
      <c r="I2784" t="n">
        <v>0.3068201220460153</v>
      </c>
      <c r="J2784" t="n">
        <v>0.0241135803934367</v>
      </c>
      <c r="K2784" t="n">
        <v>0.5543159346575038</v>
      </c>
      <c r="L2784" t="b">
        <v>0</v>
      </c>
      <c r="M2784" t="b">
        <v>0</v>
      </c>
      <c r="N2784" t="inlineStr">
        <is>
          <t>ref</t>
        </is>
      </c>
      <c r="O2784" t="n">
        <v>-95</v>
      </c>
      <c r="P2784" t="n">
        <v>0.003181</v>
      </c>
      <c r="Q2784" t="n">
        <v>-25</v>
      </c>
      <c r="R2784" t="n">
        <v>0.002808</v>
      </c>
      <c r="S2784">
        <f>IMAGE("https://mitra.stanford.edu/kundaje/oak/projects/neuro-variants/variant_position/credible/roussos_2024/variant_figures/roussos_2024.adolescence.Astrocyte/rs661739_count_position.png",4,220,900)</f>
        <v/>
      </c>
      <c r="T2784">
        <f>IMAGE("https://mitra.stanford.edu/kundaje/oak/projects/neuro-variants/variant_position/credible/roussos_2024/variant_figures/roussos_2024.adolescence.Astrocyte/rs661739_profile_position.png",4,220,900)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-0.0159314942</v>
      </c>
      <c r="G2785" t="n">
        <v>0.582013275982034</v>
      </c>
      <c r="H2785" t="n">
        <v>0.020676010554514</v>
      </c>
      <c r="I2785" t="n">
        <v>0.12236816748179</v>
      </c>
      <c r="J2785" t="n">
        <v>0.0042570394326913</v>
      </c>
      <c r="K2785" t="n">
        <v>0.7605461536811461</v>
      </c>
      <c r="L2785" t="b">
        <v>0</v>
      </c>
      <c r="M2785" t="b">
        <v>0</v>
      </c>
      <c r="N2785" t="inlineStr">
        <is>
          <t>ref</t>
        </is>
      </c>
      <c r="O2785" t="n">
        <v>80</v>
      </c>
      <c r="P2785" t="n">
        <v>0.006996</v>
      </c>
      <c r="Q2785" t="n">
        <v>-100</v>
      </c>
      <c r="R2785" t="n">
        <v>0.1783</v>
      </c>
      <c r="S2785">
        <f>IMAGE("https://mitra.stanford.edu/kundaje/oak/projects/neuro-variants/variant_position/credible/roussos_2024/variant_figures/roussos_2024.adolescence.Astrocyte/rs1153877_count_position.png",4,220,900)</f>
        <v/>
      </c>
      <c r="T2785">
        <f>IMAGE("https://mitra.stanford.edu/kundaje/oak/projects/neuro-variants/variant_position/credible/roussos_2024/variant_figures/roussos_2024.adolescence.Astrocyte/rs1153877_profile_position.png",4,220,900)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-0.0133990193999999</v>
      </c>
      <c r="G2786" t="n">
        <v>0.6750592962070917</v>
      </c>
      <c r="H2786" t="n">
        <v>0.0347964254188907</v>
      </c>
      <c r="I2786" t="n">
        <v>0.0174655924232611</v>
      </c>
      <c r="J2786" t="n">
        <v>0.0210181586208942</v>
      </c>
      <c r="K2786" t="n">
        <v>0.5656237281191392</v>
      </c>
      <c r="L2786" t="b">
        <v>1</v>
      </c>
      <c r="M2786" t="b">
        <v>0</v>
      </c>
      <c r="N2786" t="inlineStr">
        <is>
          <t>ref</t>
        </is>
      </c>
      <c r="O2786" t="n">
        <v>-95</v>
      </c>
      <c r="P2786" t="n">
        <v>0.00647</v>
      </c>
      <c r="Q2786" t="n">
        <v>-95</v>
      </c>
      <c r="R2786" t="n">
        <v>0.1451</v>
      </c>
      <c r="S2786">
        <f>IMAGE("https://mitra.stanford.edu/kundaje/oak/projects/neuro-variants/variant_position/credible/roussos_2024/variant_figures/roussos_2024.adolescence.Astrocyte/rs146516051_count_position.png",4,220,900)</f>
        <v/>
      </c>
      <c r="T2786">
        <f>IMAGE("https://mitra.stanford.edu/kundaje/oak/projects/neuro-variants/variant_position/credible/roussos_2024/variant_figures/roussos_2024.adolescence.Astrocyte/rs146516051_profile_position.png",4,220,900)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-0.0152465941199999</v>
      </c>
      <c r="G2787" t="n">
        <v>0.6338473432580807</v>
      </c>
      <c r="H2787" t="n">
        <v>0.0255168740407426</v>
      </c>
      <c r="I2787" t="n">
        <v>0.059287087860161</v>
      </c>
      <c r="J2787" t="n">
        <v>0.0545900958371658</v>
      </c>
      <c r="K2787" t="n">
        <v>0.4200561660096385</v>
      </c>
      <c r="L2787" t="b">
        <v>0</v>
      </c>
      <c r="M2787" t="b">
        <v>0</v>
      </c>
      <c r="N2787" t="inlineStr">
        <is>
          <t>ref</t>
        </is>
      </c>
      <c r="O2787" t="n">
        <v>-80</v>
      </c>
      <c r="P2787" t="n">
        <v>0.010994</v>
      </c>
      <c r="Q2787" t="n">
        <v>-95</v>
      </c>
      <c r="R2787" t="n">
        <v>0.1062</v>
      </c>
      <c r="S2787">
        <f>IMAGE("https://mitra.stanford.edu/kundaje/oak/projects/neuro-variants/variant_position/credible/roussos_2024/variant_figures/roussos_2024.adolescence.Astrocyte/rs480162_count_position.png",4,220,900)</f>
        <v/>
      </c>
      <c r="T2787">
        <f>IMAGE("https://mitra.stanford.edu/kundaje/oak/projects/neuro-variants/variant_position/credible/roussos_2024/variant_figures/roussos_2024.adolescence.Astrocyte/rs480162_profile_position.png",4,220,900)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0.0145034326</v>
      </c>
      <c r="G2788" t="n">
        <v>0.4756568306113564</v>
      </c>
      <c r="H2788" t="n">
        <v>0.0183686753351992</v>
      </c>
      <c r="I2788" t="n">
        <v>0.1798594002783511</v>
      </c>
      <c r="J2788" t="n">
        <v>0.0083167670533779</v>
      </c>
      <c r="K2788" t="n">
        <v>0.6967287348202861</v>
      </c>
      <c r="L2788" t="b">
        <v>0</v>
      </c>
      <c r="M2788" t="b">
        <v>0</v>
      </c>
      <c r="N2788" t="inlineStr">
        <is>
          <t>alt</t>
        </is>
      </c>
      <c r="O2788" t="n">
        <v>-100</v>
      </c>
      <c r="P2788" t="n">
        <v>0.004272</v>
      </c>
      <c r="Q2788" t="n">
        <v>20</v>
      </c>
      <c r="R2788" t="n">
        <v>0.0781</v>
      </c>
      <c r="S2788">
        <f>IMAGE("https://mitra.stanford.edu/kundaje/oak/projects/neuro-variants/variant_position/credible/roussos_2024/variant_figures/roussos_2024.adolescence.Astrocyte/rs35418151_count_position.png",4,220,900)</f>
        <v/>
      </c>
      <c r="T2788">
        <f>IMAGE("https://mitra.stanford.edu/kundaje/oak/projects/neuro-variants/variant_position/credible/roussos_2024/variant_figures/roussos_2024.adolescence.Astrocyte/rs35418151_profile_position.png",4,220,900)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0.06836870378</v>
      </c>
      <c r="G2789" t="n">
        <v>0.1545531258630279</v>
      </c>
      <c r="H2789" t="n">
        <v>0.0130152092442611</v>
      </c>
      <c r="I2789" t="n">
        <v>0.458204779887282</v>
      </c>
      <c r="J2789" t="n">
        <v>0.0177662225914606</v>
      </c>
      <c r="K2789" t="n">
        <v>0.5949201932880285</v>
      </c>
      <c r="L2789" t="b">
        <v>0</v>
      </c>
      <c r="M2789" t="b">
        <v>0</v>
      </c>
      <c r="N2789" t="inlineStr">
        <is>
          <t>alt</t>
        </is>
      </c>
      <c r="O2789" t="n">
        <v>-100</v>
      </c>
      <c r="P2789" t="n">
        <v>0.001663</v>
      </c>
      <c r="Q2789" t="n">
        <v>-90</v>
      </c>
      <c r="R2789" t="n">
        <v>0.09089999999999999</v>
      </c>
      <c r="S2789">
        <f>IMAGE("https://mitra.stanford.edu/kundaje/oak/projects/neuro-variants/variant_position/credible/roussos_2024/variant_figures/roussos_2024.adolescence.Astrocyte/rs10804640_count_position.png",4,220,900)</f>
        <v/>
      </c>
      <c r="T2789">
        <f>IMAGE("https://mitra.stanford.edu/kundaje/oak/projects/neuro-variants/variant_position/credible/roussos_2024/variant_figures/roussos_2024.adolescence.Astrocyte/rs10804640_profile_position.png",4,220,900)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0.0063090101399999</v>
      </c>
      <c r="G2790" t="n">
        <v>0.8229572171733195</v>
      </c>
      <c r="H2790" t="n">
        <v>0.0281405486081249</v>
      </c>
      <c r="I2790" t="n">
        <v>0.0402406889834951</v>
      </c>
      <c r="J2790" t="n">
        <v>0.0027631071417974</v>
      </c>
      <c r="K2790" t="n">
        <v>0.8011141708236238</v>
      </c>
      <c r="L2790" t="b">
        <v>0</v>
      </c>
      <c r="M2790" t="b">
        <v>0</v>
      </c>
      <c r="N2790" t="inlineStr">
        <is>
          <t>alt</t>
        </is>
      </c>
      <c r="O2790" t="n">
        <v>-45</v>
      </c>
      <c r="P2790" t="n">
        <v>0.005493</v>
      </c>
      <c r="Q2790" t="n">
        <v>-40</v>
      </c>
      <c r="R2790" t="n">
        <v>0.0381</v>
      </c>
      <c r="S2790">
        <f>IMAGE("https://mitra.stanford.edu/kundaje/oak/projects/neuro-variants/variant_position/credible/roussos_2024/variant_figures/roussos_2024.adolescence.Astrocyte/rs1394094_count_position.png",4,220,900)</f>
        <v/>
      </c>
      <c r="T2790">
        <f>IMAGE("https://mitra.stanford.edu/kundaje/oak/projects/neuro-variants/variant_position/credible/roussos_2024/variant_figures/roussos_2024.adolescence.Astrocyte/rs1394094_profile_position.png",4,220,900)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0.0487646742</v>
      </c>
      <c r="G2791" t="n">
        <v>0.2395730309981723</v>
      </c>
      <c r="H2791" t="n">
        <v>0.0103196984335033</v>
      </c>
      <c r="I2791" t="n">
        <v>0.7018923501970195</v>
      </c>
      <c r="J2791" t="n">
        <v>0.0031317686852801</v>
      </c>
      <c r="K2791" t="n">
        <v>0.7898850380334793</v>
      </c>
      <c r="L2791" t="b">
        <v>0</v>
      </c>
      <c r="M2791" t="b">
        <v>0</v>
      </c>
      <c r="N2791" t="inlineStr">
        <is>
          <t>alt</t>
        </is>
      </c>
      <c r="O2791" t="n">
        <v>-65</v>
      </c>
      <c r="P2791" t="n">
        <v>0.05832</v>
      </c>
      <c r="Q2791" t="n">
        <v>5</v>
      </c>
      <c r="R2791" t="n">
        <v>0.0067</v>
      </c>
      <c r="S2791">
        <f>IMAGE("https://mitra.stanford.edu/kundaje/oak/projects/neuro-variants/variant_position/credible/roussos_2024/variant_figures/roussos_2024.adolescence.Astrocyte/rs73226190_count_position.png",4,220,900)</f>
        <v/>
      </c>
      <c r="T2791">
        <f>IMAGE("https://mitra.stanford.edu/kundaje/oak/projects/neuro-variants/variant_position/credible/roussos_2024/variant_figures/roussos_2024.adolescence.Astrocyte/rs73226190_profile_position.png",4,220,900)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0.312931656</v>
      </c>
      <c r="G2792" t="n">
        <v>0.0058486715271233</v>
      </c>
      <c r="H2792" t="n">
        <v>0.0345567022177869</v>
      </c>
      <c r="I2792" t="n">
        <v>0.0195978059883379</v>
      </c>
      <c r="J2792" t="n">
        <v>0.003029403910631</v>
      </c>
      <c r="K2792" t="n">
        <v>0.8020494333608365</v>
      </c>
      <c r="L2792" t="b">
        <v>1</v>
      </c>
      <c r="M2792" t="b">
        <v>1</v>
      </c>
      <c r="N2792" t="inlineStr">
        <is>
          <t>alt</t>
        </is>
      </c>
      <c r="O2792" t="n">
        <v>-45</v>
      </c>
      <c r="P2792" t="n">
        <v>0.012726</v>
      </c>
      <c r="Q2792" t="n">
        <v>-75</v>
      </c>
      <c r="R2792" t="n">
        <v>0.1799</v>
      </c>
      <c r="S2792">
        <f>IMAGE("https://mitra.stanford.edu/kundaje/oak/projects/neuro-variants/variant_position/credible/roussos_2024/variant_figures/roussos_2024.adolescence.Astrocyte/rs1070228_count_position.png",4,220,900)</f>
        <v/>
      </c>
      <c r="T2792">
        <f>IMAGE("https://mitra.stanford.edu/kundaje/oak/projects/neuro-variants/variant_position/credible/roussos_2024/variant_figures/roussos_2024.adolescence.Astrocyte/rs1070228_profile_position.png",4,220,900)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-0.071700944</v>
      </c>
      <c r="G2793" t="n">
        <v>0.147448346990343</v>
      </c>
      <c r="H2793" t="n">
        <v>0.0124862010828266</v>
      </c>
      <c r="I2793" t="n">
        <v>0.5103008436902466</v>
      </c>
      <c r="J2793" t="n">
        <v>0.0113513633801144</v>
      </c>
      <c r="K2793" t="n">
        <v>0.6503249663954151</v>
      </c>
      <c r="L2793" t="b">
        <v>0</v>
      </c>
      <c r="M2793" t="b">
        <v>0</v>
      </c>
      <c r="N2793" t="inlineStr">
        <is>
          <t>ref</t>
        </is>
      </c>
      <c r="O2793" t="n">
        <v>-95</v>
      </c>
      <c r="P2793" t="n">
        <v>0.014275</v>
      </c>
      <c r="Q2793" t="n">
        <v>75</v>
      </c>
      <c r="R2793" t="n">
        <v>0.05066</v>
      </c>
      <c r="S2793">
        <f>IMAGE("https://mitra.stanford.edu/kundaje/oak/projects/neuro-variants/variant_position/credible/roussos_2024/variant_figures/roussos_2024.adolescence.Astrocyte/rs1280622_count_position.png",4,220,900)</f>
        <v/>
      </c>
      <c r="T2793">
        <f>IMAGE("https://mitra.stanford.edu/kundaje/oak/projects/neuro-variants/variant_position/credible/roussos_2024/variant_figures/roussos_2024.adolescence.Astrocyte/rs1280622_profile_position.png",4,220,900)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-0.0643063056</v>
      </c>
      <c r="G2794" t="n">
        <v>0.1766110490886099</v>
      </c>
      <c r="H2794" t="n">
        <v>0.0158400394303881</v>
      </c>
      <c r="I2794" t="n">
        <v>0.2763730013675199</v>
      </c>
      <c r="J2794" t="n">
        <v>0.0184085986410704</v>
      </c>
      <c r="K2794" t="n">
        <v>0.601818787825487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0.05243</v>
      </c>
      <c r="Q2794" t="n">
        <v>-100</v>
      </c>
      <c r="R2794" t="n">
        <v>0.1605</v>
      </c>
      <c r="S2794">
        <f>IMAGE("https://mitra.stanford.edu/kundaje/oak/projects/neuro-variants/variant_position/credible/roussos_2024/variant_figures/roussos_2024.adolescence.Astrocyte/rs56695781_count_position.png",4,220,900)</f>
        <v/>
      </c>
      <c r="T2794">
        <f>IMAGE("https://mitra.stanford.edu/kundaje/oak/projects/neuro-variants/variant_position/credible/roussos_2024/variant_figures/roussos_2024.adolescence.Astrocyte/rs56695781_profile_position.png",4,220,900)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0.0278437728</v>
      </c>
      <c r="G2795" t="n">
        <v>0.4432090168984238</v>
      </c>
      <c r="H2795" t="n">
        <v>0.0107853566796089</v>
      </c>
      <c r="I2795" t="n">
        <v>0.6754657111936638</v>
      </c>
      <c r="J2795" t="n">
        <v>0.1130092276651929</v>
      </c>
      <c r="K2795" t="n">
        <v>0.3050486846353592</v>
      </c>
      <c r="L2795" t="b">
        <v>0</v>
      </c>
      <c r="M2795" t="b">
        <v>0</v>
      </c>
      <c r="N2795" t="inlineStr">
        <is>
          <t>alt</t>
        </is>
      </c>
      <c r="O2795" t="n">
        <v>20</v>
      </c>
      <c r="P2795" t="n">
        <v>0.011475</v>
      </c>
      <c r="Q2795" t="n">
        <v>65</v>
      </c>
      <c r="R2795" t="n">
        <v>0.2668</v>
      </c>
      <c r="S2795">
        <f>IMAGE("https://mitra.stanford.edu/kundaje/oak/projects/neuro-variants/variant_position/credible/roussos_2024/variant_figures/roussos_2024.adolescence.Astrocyte/rs4420814_count_position.png",4,220,900)</f>
        <v/>
      </c>
      <c r="T2795">
        <f>IMAGE("https://mitra.stanford.edu/kundaje/oak/projects/neuro-variants/variant_position/credible/roussos_2024/variant_figures/roussos_2024.adolescence.Astrocyte/rs4420814_profile_position.png",4,220,900)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-0.132291818</v>
      </c>
      <c r="G2796" t="n">
        <v>0.0455083414655107</v>
      </c>
      <c r="H2796" t="n">
        <v>0.0445852701714445</v>
      </c>
      <c r="I2796" t="n">
        <v>0.0064349438679669</v>
      </c>
      <c r="J2796" t="n">
        <v>0.869202296531466</v>
      </c>
      <c r="K2796" t="n">
        <v>0.0033747385489833</v>
      </c>
      <c r="L2796" t="b">
        <v>1</v>
      </c>
      <c r="M2796" t="b">
        <v>1</v>
      </c>
      <c r="N2796" t="inlineStr">
        <is>
          <t>ref</t>
        </is>
      </c>
      <c r="O2796" t="n">
        <v>-100</v>
      </c>
      <c r="P2796" t="n">
        <v>0.009384</v>
      </c>
      <c r="Q2796" t="n">
        <v>-25</v>
      </c>
      <c r="R2796" t="n">
        <v>0.03723</v>
      </c>
      <c r="S2796">
        <f>IMAGE("https://mitra.stanford.edu/kundaje/oak/projects/neuro-variants/variant_position/credible/roussos_2024/variant_figures/roussos_2024.adolescence.Astrocyte/rs149346914_count_position.png",4,220,900)</f>
        <v/>
      </c>
      <c r="T2796">
        <f>IMAGE("https://mitra.stanford.edu/kundaje/oak/projects/neuro-variants/variant_position/credible/roussos_2024/variant_figures/roussos_2024.adolescence.Astrocyte/rs149346914_profile_position.png",4,220,900)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0.0311065241999999</v>
      </c>
      <c r="G2797" t="n">
        <v>0.3828131779962709</v>
      </c>
      <c r="H2797" t="n">
        <v>0.040888000468679</v>
      </c>
      <c r="I2797" t="n">
        <v>0.008781071797571101</v>
      </c>
      <c r="J2797" t="n">
        <v>0.1051026614841408</v>
      </c>
      <c r="K2797" t="n">
        <v>0.3146955326138872</v>
      </c>
      <c r="L2797" t="b">
        <v>1</v>
      </c>
      <c r="M2797" t="b">
        <v>1</v>
      </c>
      <c r="N2797" t="inlineStr">
        <is>
          <t>alt</t>
        </is>
      </c>
      <c r="O2797" t="n">
        <v>45</v>
      </c>
      <c r="P2797" t="n">
        <v>0.002449</v>
      </c>
      <c r="Q2797" t="n">
        <v>-100</v>
      </c>
      <c r="R2797" t="n">
        <v>0.162</v>
      </c>
      <c r="S2797">
        <f>IMAGE("https://mitra.stanford.edu/kundaje/oak/projects/neuro-variants/variant_position/credible/roussos_2024/variant_figures/roussos_2024.adolescence.Astrocyte/rs4683442_count_position.png",4,220,900)</f>
        <v/>
      </c>
      <c r="T2797">
        <f>IMAGE("https://mitra.stanford.edu/kundaje/oak/projects/neuro-variants/variant_position/credible/roussos_2024/variant_figures/roussos_2024.adolescence.Astrocyte/rs4683442_profile_position.png",4,220,900)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-0.1104310588</v>
      </c>
      <c r="G2798" t="n">
        <v>0.0765948793084225</v>
      </c>
      <c r="H2798" t="n">
        <v>0.0169776485788597</v>
      </c>
      <c r="I2798" t="n">
        <v>0.2371612658217281</v>
      </c>
      <c r="J2798" t="n">
        <v>0.0173033557843514</v>
      </c>
      <c r="K2798" t="n">
        <v>0.5916442813030046</v>
      </c>
      <c r="L2798" t="b">
        <v>0</v>
      </c>
      <c r="M2798" t="b">
        <v>0</v>
      </c>
      <c r="N2798" t="inlineStr">
        <is>
          <t>ref</t>
        </is>
      </c>
      <c r="O2798" t="n">
        <v>100</v>
      </c>
      <c r="P2798" t="n">
        <v>0.00958</v>
      </c>
      <c r="Q2798" t="n">
        <v>75</v>
      </c>
      <c r="R2798" t="n">
        <v>0.227</v>
      </c>
      <c r="S2798">
        <f>IMAGE("https://mitra.stanford.edu/kundaje/oak/projects/neuro-variants/variant_position/credible/roussos_2024/variant_figures/roussos_2024.adolescence.Astrocyte/rs3886152_count_position.png",4,220,900)</f>
        <v/>
      </c>
      <c r="T2798">
        <f>IMAGE("https://mitra.stanford.edu/kundaje/oak/projects/neuro-variants/variant_position/credible/roussos_2024/variant_figures/roussos_2024.adolescence.Astrocyte/rs3886152_profile_position.png",4,220,900)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0.165214736</v>
      </c>
      <c r="G2799" t="n">
        <v>0.0361718580823582</v>
      </c>
      <c r="H2799" t="n">
        <v>0.0275262449765554</v>
      </c>
      <c r="I2799" t="n">
        <v>0.0633095387633917</v>
      </c>
      <c r="J2799" t="n">
        <v>0.2171957985935969</v>
      </c>
      <c r="K2799" t="n">
        <v>0.1929292655756987</v>
      </c>
      <c r="L2799" t="b">
        <v>0</v>
      </c>
      <c r="M2799" t="b">
        <v>0</v>
      </c>
      <c r="N2799" t="inlineStr">
        <is>
          <t>alt</t>
        </is>
      </c>
      <c r="O2799" t="n">
        <v>-100</v>
      </c>
      <c r="P2799" t="n">
        <v>0.007233</v>
      </c>
      <c r="Q2799" t="n">
        <v>30</v>
      </c>
      <c r="R2799" t="n">
        <v>0.0495</v>
      </c>
      <c r="S2799">
        <f>IMAGE("https://mitra.stanford.edu/kundaje/oak/projects/neuro-variants/variant_position/credible/roussos_2024/variant_figures/roussos_2024.adolescence.Astrocyte/rs4683725_count_position.png",4,220,900)</f>
        <v/>
      </c>
      <c r="T2799">
        <f>IMAGE("https://mitra.stanford.edu/kundaje/oak/projects/neuro-variants/variant_position/credible/roussos_2024/variant_figures/roussos_2024.adolescence.Astrocyte/rs4683725_profile_position.png",4,220,900)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0.111380202</v>
      </c>
      <c r="G2800" t="n">
        <v>0.0624955862019051</v>
      </c>
      <c r="H2800" t="n">
        <v>0.0205773332090444</v>
      </c>
      <c r="I2800" t="n">
        <v>0.1299279836481661</v>
      </c>
      <c r="J2800" t="n">
        <v>0.1240557220425481</v>
      </c>
      <c r="K2800" t="n">
        <v>0.2906006013749169</v>
      </c>
      <c r="L2800" t="b">
        <v>0</v>
      </c>
      <c r="M2800" t="b">
        <v>0</v>
      </c>
      <c r="N2800" t="inlineStr">
        <is>
          <t>alt</t>
        </is>
      </c>
      <c r="O2800" t="n">
        <v>40</v>
      </c>
      <c r="P2800" t="n">
        <v>0.0004883</v>
      </c>
      <c r="Q2800" t="n">
        <v>-100</v>
      </c>
      <c r="R2800" t="n">
        <v>0.2069</v>
      </c>
      <c r="S2800">
        <f>IMAGE("https://mitra.stanford.edu/kundaje/oak/projects/neuro-variants/variant_position/credible/roussos_2024/variant_figures/roussos_2024.adolescence.Astrocyte/rs9289654_count_position.png",4,220,900)</f>
        <v/>
      </c>
      <c r="T2800">
        <f>IMAGE("https://mitra.stanford.edu/kundaje/oak/projects/neuro-variants/variant_position/credible/roussos_2024/variant_figures/roussos_2024.adolescence.Astrocyte/rs9289654_profile_position.png",4,220,900)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0.0136755871599999</v>
      </c>
      <c r="G2801" t="n">
        <v>0.6437264570735654</v>
      </c>
      <c r="H2801" t="n">
        <v>0.008178392753152901</v>
      </c>
      <c r="I2801" t="n">
        <v>0.9201382662456672</v>
      </c>
      <c r="J2801" t="n">
        <v>0.0054928344657745</v>
      </c>
      <c r="K2801" t="n">
        <v>0.7252846479248118</v>
      </c>
      <c r="L2801" t="b">
        <v>0</v>
      </c>
      <c r="M2801" t="b">
        <v>0</v>
      </c>
      <c r="N2801" t="inlineStr">
        <is>
          <t>alt</t>
        </is>
      </c>
      <c r="O2801" t="n">
        <v>-70</v>
      </c>
      <c r="P2801" t="n">
        <v>0.005493</v>
      </c>
      <c r="Q2801" t="n">
        <v>65</v>
      </c>
      <c r="R2801" t="n">
        <v>0.15</v>
      </c>
      <c r="S2801">
        <f>IMAGE("https://mitra.stanford.edu/kundaje/oak/projects/neuro-variants/variant_position/credible/roussos_2024/variant_figures/roussos_2024.adolescence.Astrocyte/rs750869_count_position.png",4,220,900)</f>
        <v/>
      </c>
      <c r="T2801">
        <f>IMAGE("https://mitra.stanford.edu/kundaje/oak/projects/neuro-variants/variant_position/credible/roussos_2024/variant_figures/roussos_2024.adolescence.Astrocyte/rs750869_profile_position.png",4,220,900)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0.0242591729999999</v>
      </c>
      <c r="G2802" t="n">
        <v>0.4731460065483994</v>
      </c>
      <c r="H2802" t="n">
        <v>0.0085796007841302</v>
      </c>
      <c r="I2802" t="n">
        <v>0.8872340464257744</v>
      </c>
      <c r="J2802" t="n">
        <v>0.0120590155179063</v>
      </c>
      <c r="K2802" t="n">
        <v>0.6337483468756995</v>
      </c>
      <c r="L2802" t="b">
        <v>0</v>
      </c>
      <c r="M2802" t="b">
        <v>0</v>
      </c>
      <c r="N2802" t="inlineStr">
        <is>
          <t>alt</t>
        </is>
      </c>
      <c r="O2802" t="n">
        <v>100</v>
      </c>
      <c r="P2802" t="n">
        <v>0.02663</v>
      </c>
      <c r="Q2802" t="n">
        <v>85</v>
      </c>
      <c r="R2802" t="n">
        <v>0.02975</v>
      </c>
      <c r="S2802">
        <f>IMAGE("https://mitra.stanford.edu/kundaje/oak/projects/neuro-variants/variant_position/credible/roussos_2024/variant_figures/roussos_2024.adolescence.Astrocyte/rs10804685_count_position.png",4,220,900)</f>
        <v/>
      </c>
      <c r="T2802">
        <f>IMAGE("https://mitra.stanford.edu/kundaje/oak/projects/neuro-variants/variant_position/credible/roussos_2024/variant_figures/roussos_2024.adolescence.Astrocyte/rs10804685_profile_position.png",4,220,900)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-0.048029893</v>
      </c>
      <c r="G2803" t="n">
        <v>0.2434100857339921</v>
      </c>
      <c r="H2803" t="n">
        <v>0.0134535645862685</v>
      </c>
      <c r="I2803" t="n">
        <v>0.414298932586142</v>
      </c>
      <c r="J2803" t="n">
        <v>0.0064408212918731</v>
      </c>
      <c r="K2803" t="n">
        <v>0.7073353699752067</v>
      </c>
      <c r="L2803" t="b">
        <v>0</v>
      </c>
      <c r="M2803" t="b">
        <v>0</v>
      </c>
      <c r="N2803" t="inlineStr">
        <is>
          <t>ref</t>
        </is>
      </c>
      <c r="O2803" t="n">
        <v>75</v>
      </c>
      <c r="P2803" t="n">
        <v>0.00715</v>
      </c>
      <c r="Q2803" t="n">
        <v>80</v>
      </c>
      <c r="R2803" t="n">
        <v>0.1046</v>
      </c>
      <c r="S2803">
        <f>IMAGE("https://mitra.stanford.edu/kundaje/oak/projects/neuro-variants/variant_position/credible/roussos_2024/variant_figures/roussos_2024.adolescence.Astrocyte/rs8179934_count_position.png",4,220,900)</f>
        <v/>
      </c>
      <c r="T2803">
        <f>IMAGE("https://mitra.stanford.edu/kundaje/oak/projects/neuro-variants/variant_position/credible/roussos_2024/variant_figures/roussos_2024.adolescence.Astrocyte/rs8179934_profile_position.png",4,220,900)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-0.024934759</v>
      </c>
      <c r="G2804" t="n">
        <v>0.4423556414021097</v>
      </c>
      <c r="H2804" t="n">
        <v>0.0261016461019479</v>
      </c>
      <c r="I2804" t="n">
        <v>0.0541436189443096</v>
      </c>
      <c r="J2804" t="n">
        <v>0.0010993086668841</v>
      </c>
      <c r="K2804" t="n">
        <v>0.8651567731721275</v>
      </c>
      <c r="L2804" t="b">
        <v>0</v>
      </c>
      <c r="M2804" t="b">
        <v>0</v>
      </c>
      <c r="N2804" t="inlineStr">
        <is>
          <t>ref</t>
        </is>
      </c>
      <c r="O2804" t="n">
        <v>60</v>
      </c>
      <c r="P2804" t="n">
        <v>0.0677</v>
      </c>
      <c r="Q2804" t="n">
        <v>50</v>
      </c>
      <c r="R2804" t="n">
        <v>0.10376</v>
      </c>
      <c r="S2804">
        <f>IMAGE("https://mitra.stanford.edu/kundaje/oak/projects/neuro-variants/variant_position/credible/roussos_2024/variant_figures/roussos_2024.adolescence.Astrocyte/rs9832859_count_position.png",4,220,900)</f>
        <v/>
      </c>
      <c r="T2804">
        <f>IMAGE("https://mitra.stanford.edu/kundaje/oak/projects/neuro-variants/variant_position/credible/roussos_2024/variant_figures/roussos_2024.adolescence.Astrocyte/rs9832859_profile_position.png",4,220,900)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-0.2130949319999999</v>
      </c>
      <c r="G2805" t="n">
        <v>0.0160894170839865</v>
      </c>
      <c r="H2805" t="n">
        <v>0.0249534320148586</v>
      </c>
      <c r="I2805" t="n">
        <v>0.0641110624296064</v>
      </c>
      <c r="J2805" t="n">
        <v>0.0503130285137821</v>
      </c>
      <c r="K2805" t="n">
        <v>0.4517392231676869</v>
      </c>
      <c r="L2805" t="b">
        <v>1</v>
      </c>
      <c r="M2805" t="b">
        <v>0</v>
      </c>
      <c r="N2805" t="inlineStr">
        <is>
          <t>ref</t>
        </is>
      </c>
      <c r="O2805" t="n">
        <v>80</v>
      </c>
      <c r="P2805" t="n">
        <v>0.003143</v>
      </c>
      <c r="Q2805" t="n">
        <v>10</v>
      </c>
      <c r="R2805" t="n">
        <v>0.0459</v>
      </c>
      <c r="S2805">
        <f>IMAGE("https://mitra.stanford.edu/kundaje/oak/projects/neuro-variants/variant_position/credible/roussos_2024/variant_figures/roussos_2024.adolescence.Astrocyte/rs514816_count_position.png",4,220,900)</f>
        <v/>
      </c>
      <c r="T2805">
        <f>IMAGE("https://mitra.stanford.edu/kundaje/oak/projects/neuro-variants/variant_position/credible/roussos_2024/variant_figures/roussos_2024.adolescence.Astrocyte/rs514816_profile_position.png",4,220,900)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-0.0724752947999999</v>
      </c>
      <c r="G2806" t="n">
        <v>0.1458201511883917</v>
      </c>
      <c r="H2806" t="n">
        <v>0.0143252898233797</v>
      </c>
      <c r="I2806" t="n">
        <v>0.3654001711420773</v>
      </c>
      <c r="J2806" t="n">
        <v>0.0012936533839717</v>
      </c>
      <c r="K2806" t="n">
        <v>0.8516766029938563</v>
      </c>
      <c r="L2806" t="b">
        <v>0</v>
      </c>
      <c r="M2806" t="b">
        <v>0</v>
      </c>
      <c r="N2806" t="inlineStr">
        <is>
          <t>ref</t>
        </is>
      </c>
      <c r="O2806" t="n">
        <v>-55</v>
      </c>
      <c r="P2806" t="n">
        <v>0.1227</v>
      </c>
      <c r="Q2806" t="n">
        <v>-45</v>
      </c>
      <c r="R2806" t="n">
        <v>0.1372</v>
      </c>
      <c r="S2806">
        <f>IMAGE("https://mitra.stanford.edu/kundaje/oak/projects/neuro-variants/variant_position/credible/roussos_2024/variant_figures/roussos_2024.adolescence.Astrocyte/rs308693_count_position.png",4,220,900)</f>
        <v/>
      </c>
      <c r="T2806">
        <f>IMAGE("https://mitra.stanford.edu/kundaje/oak/projects/neuro-variants/variant_position/credible/roussos_2024/variant_figures/roussos_2024.adolescence.Astrocyte/rs308693_profile_position.png",4,220,900)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0.06495488319999999</v>
      </c>
      <c r="G2807" t="n">
        <v>0.1640955854830174</v>
      </c>
      <c r="H2807" t="n">
        <v>0.0208276810524716</v>
      </c>
      <c r="I2807" t="n">
        <v>0.1204326918404572</v>
      </c>
      <c r="J2807" t="n">
        <v>0.0397687149511912</v>
      </c>
      <c r="K2807" t="n">
        <v>0.4793652573119546</v>
      </c>
      <c r="L2807" t="b">
        <v>0</v>
      </c>
      <c r="M2807" t="b">
        <v>0</v>
      </c>
      <c r="N2807" t="inlineStr">
        <is>
          <t>alt</t>
        </is>
      </c>
      <c r="O2807" t="n">
        <v>-100</v>
      </c>
      <c r="P2807" t="n">
        <v>0.002827</v>
      </c>
      <c r="Q2807" t="n">
        <v>10</v>
      </c>
      <c r="R2807" t="n">
        <v>0.01587</v>
      </c>
      <c r="S2807">
        <f>IMAGE("https://mitra.stanford.edu/kundaje/oak/projects/neuro-variants/variant_position/credible/roussos_2024/variant_figures/roussos_2024.adolescence.Astrocyte/rs308698_count_position.png",4,220,900)</f>
        <v/>
      </c>
      <c r="T2807">
        <f>IMAGE("https://mitra.stanford.edu/kundaje/oak/projects/neuro-variants/variant_position/credible/roussos_2024/variant_figures/roussos_2024.adolescence.Astrocyte/rs308698_profile_position.png",4,220,900)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0.0038111289799999</v>
      </c>
      <c r="G2808" t="n">
        <v>0.5590506680055506</v>
      </c>
      <c r="H2808" t="n">
        <v>0.0099798351120067</v>
      </c>
      <c r="I2808" t="n">
        <v>0.738781721033534</v>
      </c>
      <c r="J2808" t="n">
        <v>0.0323279826721656</v>
      </c>
      <c r="K2808" t="n">
        <v>0.5115904793746378</v>
      </c>
      <c r="L2808" t="b">
        <v>0</v>
      </c>
      <c r="M2808" t="b">
        <v>0</v>
      </c>
      <c r="N2808" t="inlineStr">
        <is>
          <t>alt</t>
        </is>
      </c>
      <c r="O2808" t="n">
        <v>-30</v>
      </c>
      <c r="P2808" t="n">
        <v>0.008229999999999999</v>
      </c>
      <c r="Q2808" t="n">
        <v>-10</v>
      </c>
      <c r="R2808" t="n">
        <v>0.013855</v>
      </c>
      <c r="S2808">
        <f>IMAGE("https://mitra.stanford.edu/kundaje/oak/projects/neuro-variants/variant_position/credible/roussos_2024/variant_figures/roussos_2024.adolescence.Astrocyte/rs308699_count_position.png",4,220,900)</f>
        <v/>
      </c>
      <c r="T2808">
        <f>IMAGE("https://mitra.stanford.edu/kundaje/oak/projects/neuro-variants/variant_position/credible/roussos_2024/variant_figures/roussos_2024.adolescence.Astrocyte/rs308699_profile_position.png",4,220,900)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-0.093334341</v>
      </c>
      <c r="G2809" t="n">
        <v>0.0988952686959278</v>
      </c>
      <c r="H2809" t="n">
        <v>0.0197748510182511</v>
      </c>
      <c r="I2809" t="n">
        <v>0.1549871338378265</v>
      </c>
      <c r="J2809" t="n">
        <v>0.0007313888971307</v>
      </c>
      <c r="K2809" t="n">
        <v>0.9070541121483554</v>
      </c>
      <c r="L2809" t="b">
        <v>0</v>
      </c>
      <c r="M2809" t="b">
        <v>0</v>
      </c>
      <c r="N2809" t="inlineStr">
        <is>
          <t>ref</t>
        </is>
      </c>
      <c r="O2809" t="n">
        <v>-15</v>
      </c>
      <c r="P2809" t="n">
        <v>0.001038</v>
      </c>
      <c r="Q2809" t="n">
        <v>10</v>
      </c>
      <c r="R2809" t="n">
        <v>0.01529</v>
      </c>
      <c r="S2809">
        <f>IMAGE("https://mitra.stanford.edu/kundaje/oak/projects/neuro-variants/variant_position/credible/roussos_2024/variant_figures/roussos_2024.adolescence.Astrocyte/rs9865618_count_position.png",4,220,900)</f>
        <v/>
      </c>
      <c r="T2809">
        <f>IMAGE("https://mitra.stanford.edu/kundaje/oak/projects/neuro-variants/variant_position/credible/roussos_2024/variant_figures/roussos_2024.adolescence.Astrocyte/rs9865618_profile_position.png",4,220,900)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-0.008105938139999999</v>
      </c>
      <c r="G2810" t="n">
        <v>0.7375860364624774</v>
      </c>
      <c r="H2810" t="n">
        <v>0.0140939591116551</v>
      </c>
      <c r="I2810" t="n">
        <v>0.3830087543947394</v>
      </c>
      <c r="J2810" t="n">
        <v>0.0019590244191911</v>
      </c>
      <c r="K2810" t="n">
        <v>0.8240891171087021</v>
      </c>
      <c r="L2810" t="b">
        <v>0</v>
      </c>
      <c r="M2810" t="b">
        <v>0</v>
      </c>
      <c r="N2810" t="inlineStr">
        <is>
          <t>ref</t>
        </is>
      </c>
      <c r="O2810" t="n">
        <v>-90</v>
      </c>
      <c r="P2810" t="n">
        <v>0.0208</v>
      </c>
      <c r="Q2810" t="n">
        <v>100</v>
      </c>
      <c r="R2810" t="n">
        <v>0.0648</v>
      </c>
      <c r="S2810">
        <f>IMAGE("https://mitra.stanford.edu/kundaje/oak/projects/neuro-variants/variant_position/credible/roussos_2024/variant_figures/roussos_2024.adolescence.Astrocyte/rs4586823_count_position.png",4,220,900)</f>
        <v/>
      </c>
      <c r="T2810">
        <f>IMAGE("https://mitra.stanford.edu/kundaje/oak/projects/neuro-variants/variant_position/credible/roussos_2024/variant_figures/roussos_2024.adolescence.Astrocyte/rs4586823_profile_position.png",4,220,900)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-0.0794827546</v>
      </c>
      <c r="G2811" t="n">
        <v>0.1157371931643359</v>
      </c>
      <c r="H2811" t="n">
        <v>0.0115804869619022</v>
      </c>
      <c r="I2811" t="n">
        <v>0.5856476363080433</v>
      </c>
      <c r="J2811" t="n">
        <v>0.004165059490253</v>
      </c>
      <c r="K2811" t="n">
        <v>0.7651244299941728</v>
      </c>
      <c r="L2811" t="b">
        <v>0</v>
      </c>
      <c r="M2811" t="b">
        <v>0</v>
      </c>
      <c r="N2811" t="inlineStr">
        <is>
          <t>ref</t>
        </is>
      </c>
      <c r="O2811" t="n">
        <v>-10</v>
      </c>
      <c r="P2811" t="n">
        <v>0.0004272</v>
      </c>
      <c r="Q2811" t="n">
        <v>-40</v>
      </c>
      <c r="R2811" t="n">
        <v>0.0365</v>
      </c>
      <c r="S2811">
        <f>IMAGE("https://mitra.stanford.edu/kundaje/oak/projects/neuro-variants/variant_position/credible/roussos_2024/variant_figures/roussos_2024.adolescence.Astrocyte/rs7615033_count_position.png",4,220,900)</f>
        <v/>
      </c>
      <c r="T2811">
        <f>IMAGE("https://mitra.stanford.edu/kundaje/oak/projects/neuro-variants/variant_position/credible/roussos_2024/variant_figures/roussos_2024.adolescence.Astrocyte/rs7615033_profile_position.png",4,220,900)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0.0002102876999999</v>
      </c>
      <c r="G2812" t="n">
        <v>0.7233546312304335</v>
      </c>
      <c r="H2812" t="n">
        <v>0.0106448480430519</v>
      </c>
      <c r="I2812" t="n">
        <v>0.6811233529370415</v>
      </c>
      <c r="J2812" t="n">
        <v>0.0042733584547369</v>
      </c>
      <c r="K2812" t="n">
        <v>0.762066689373577</v>
      </c>
      <c r="L2812" t="b">
        <v>0</v>
      </c>
      <c r="M2812" t="b">
        <v>0</v>
      </c>
      <c r="N2812" t="inlineStr">
        <is>
          <t>alt</t>
        </is>
      </c>
      <c r="O2812" t="n">
        <v>15</v>
      </c>
      <c r="P2812" t="n">
        <v>0.0004272</v>
      </c>
      <c r="Q2812" t="n">
        <v>60</v>
      </c>
      <c r="R2812" t="n">
        <v>0.05933</v>
      </c>
      <c r="S2812">
        <f>IMAGE("https://mitra.stanford.edu/kundaje/oak/projects/neuro-variants/variant_position/credible/roussos_2024/variant_figures/roussos_2024.adolescence.Astrocyte/rs7626556_count_position.png",4,220,900)</f>
        <v/>
      </c>
      <c r="T2812">
        <f>IMAGE("https://mitra.stanford.edu/kundaje/oak/projects/neuro-variants/variant_position/credible/roussos_2024/variant_figures/roussos_2024.adolescence.Astrocyte/rs7626556_profile_position.png",4,220,900)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0.0126071582999999</v>
      </c>
      <c r="G2813" t="n">
        <v>0.649385460968956</v>
      </c>
      <c r="H2813" t="n">
        <v>0.0152000791509658</v>
      </c>
      <c r="I2813" t="n">
        <v>0.3135207829726649</v>
      </c>
      <c r="J2813" t="n">
        <v>0.042382725573391</v>
      </c>
      <c r="K2813" t="n">
        <v>0.4695835799643934</v>
      </c>
      <c r="L2813" t="b">
        <v>0</v>
      </c>
      <c r="M2813" t="b">
        <v>0</v>
      </c>
      <c r="N2813" t="inlineStr">
        <is>
          <t>alt</t>
        </is>
      </c>
      <c r="O2813" t="n">
        <v>-95</v>
      </c>
      <c r="P2813" t="n">
        <v>0.0398</v>
      </c>
      <c r="Q2813" t="n">
        <v>-100</v>
      </c>
      <c r="R2813" t="n">
        <v>0.5425</v>
      </c>
      <c r="S2813">
        <f>IMAGE("https://mitra.stanford.edu/kundaje/oak/projects/neuro-variants/variant_position/credible/roussos_2024/variant_figures/roussos_2024.adolescence.Astrocyte/rs1912454_count_position.png",4,220,900)</f>
        <v/>
      </c>
      <c r="T2813">
        <f>IMAGE("https://mitra.stanford.edu/kundaje/oak/projects/neuro-variants/variant_position/credible/roussos_2024/variant_figures/roussos_2024.adolescence.Astrocyte/rs1912454_profile_position.png",4,220,900)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-0.01066938192</v>
      </c>
      <c r="G2814" t="n">
        <v>0.7012134206917577</v>
      </c>
      <c r="H2814" t="n">
        <v>0.0145609780923613</v>
      </c>
      <c r="I2814" t="n">
        <v>0.3494730796874915</v>
      </c>
      <c r="J2814" t="n">
        <v>0.0050685398925911</v>
      </c>
      <c r="K2814" t="n">
        <v>0.7638595261461073</v>
      </c>
      <c r="L2814" t="b">
        <v>0</v>
      </c>
      <c r="M2814" t="b">
        <v>0</v>
      </c>
      <c r="N2814" t="inlineStr">
        <is>
          <t>ref</t>
        </is>
      </c>
      <c r="O2814" t="n">
        <v>-75</v>
      </c>
      <c r="P2814" t="n">
        <v>0.00673</v>
      </c>
      <c r="Q2814" t="n">
        <v>-90</v>
      </c>
      <c r="R2814" t="n">
        <v>0.01941</v>
      </c>
      <c r="S2814">
        <f>IMAGE("https://mitra.stanford.edu/kundaje/oak/projects/neuro-variants/variant_position/credible/roussos_2024/variant_figures/roussos_2024.adolescence.Astrocyte/rs28532919_count_position.png",4,220,900)</f>
        <v/>
      </c>
      <c r="T2814">
        <f>IMAGE("https://mitra.stanford.edu/kundaje/oak/projects/neuro-variants/variant_position/credible/roussos_2024/variant_figures/roussos_2024.adolescence.Astrocyte/rs28532919_profile_position.png",4,220,900)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0.150753049</v>
      </c>
      <c r="G2815" t="n">
        <v>0.0377104801076307</v>
      </c>
      <c r="H2815" t="n">
        <v>0.0210797937255156</v>
      </c>
      <c r="I2815" t="n">
        <v>0.1167947435769698</v>
      </c>
      <c r="J2815" t="n">
        <v>0.0358914636679226</v>
      </c>
      <c r="K2815" t="n">
        <v>0.485942073089345</v>
      </c>
      <c r="L2815" t="b">
        <v>0</v>
      </c>
      <c r="M2815" t="b">
        <v>0</v>
      </c>
      <c r="N2815" t="inlineStr">
        <is>
          <t>alt</t>
        </is>
      </c>
      <c r="O2815" t="n">
        <v>-80</v>
      </c>
      <c r="P2815" t="n">
        <v>0.02771</v>
      </c>
      <c r="Q2815" t="n">
        <v>-40</v>
      </c>
      <c r="R2815" t="n">
        <v>0.09470000000000001</v>
      </c>
      <c r="S2815">
        <f>IMAGE("https://mitra.stanford.edu/kundaje/oak/projects/neuro-variants/variant_position/credible/roussos_2024/variant_figures/roussos_2024.adolescence.Astrocyte/rs62280491_count_position.png",4,220,900)</f>
        <v/>
      </c>
      <c r="T2815">
        <f>IMAGE("https://mitra.stanford.edu/kundaje/oak/projects/neuro-variants/variant_position/credible/roussos_2024/variant_figures/roussos_2024.adolescence.Astrocyte/rs62280491_profile_position.png",4,220,900)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-0.51123931</v>
      </c>
      <c r="G2816" t="n">
        <v>0.0014563549808968</v>
      </c>
      <c r="H2816" t="n">
        <v>0.0465420562968543</v>
      </c>
      <c r="I2816" t="n">
        <v>0.0062749599824709</v>
      </c>
      <c r="J2816" t="n">
        <v>0.0459484318903361</v>
      </c>
      <c r="K2816" t="n">
        <v>0.4719083628178533</v>
      </c>
      <c r="L2816" t="b">
        <v>1</v>
      </c>
      <c r="M2816" t="b">
        <v>1</v>
      </c>
      <c r="N2816" t="inlineStr">
        <is>
          <t>ref</t>
        </is>
      </c>
      <c r="O2816" t="n">
        <v>95</v>
      </c>
      <c r="P2816" t="n">
        <v>0.008895999999999999</v>
      </c>
      <c r="Q2816" t="n">
        <v>5</v>
      </c>
      <c r="R2816" t="n">
        <v>0.01611</v>
      </c>
      <c r="S2816">
        <f>IMAGE("https://mitra.stanford.edu/kundaje/oak/projects/neuro-variants/variant_position/credible/roussos_2024/variant_figures/roussos_2024.adolescence.Astrocyte/rs56315604_count_position.png",4,220,900)</f>
        <v/>
      </c>
      <c r="T2816">
        <f>IMAGE("https://mitra.stanford.edu/kundaje/oak/projects/neuro-variants/variant_position/credible/roussos_2024/variant_figures/roussos_2024.adolescence.Astrocyte/rs56315604_profile_position.png",4,220,900)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-0.0832656728</v>
      </c>
      <c r="G2817" t="n">
        <v>0.12453429170172</v>
      </c>
      <c r="H2817" t="n">
        <v>0.0157460543942611</v>
      </c>
      <c r="I2817" t="n">
        <v>0.2825650383355226</v>
      </c>
      <c r="J2817" t="n">
        <v>0.0284907871702815</v>
      </c>
      <c r="K2817" t="n">
        <v>0.5421897706241821</v>
      </c>
      <c r="L2817" t="b">
        <v>0</v>
      </c>
      <c r="M2817" t="b">
        <v>0</v>
      </c>
      <c r="N2817" t="inlineStr">
        <is>
          <t>ref</t>
        </is>
      </c>
      <c r="O2817" t="n">
        <v>65</v>
      </c>
      <c r="P2817" t="n">
        <v>0.014084</v>
      </c>
      <c r="Q2817" t="n">
        <v>65</v>
      </c>
      <c r="R2817" t="n">
        <v>0.2346</v>
      </c>
      <c r="S2817">
        <f>IMAGE("https://mitra.stanford.edu/kundaje/oak/projects/neuro-variants/variant_position/credible/roussos_2024/variant_figures/roussos_2024.adolescence.Astrocyte/rs1397242_count_position.png",4,220,900)</f>
        <v/>
      </c>
      <c r="T2817">
        <f>IMAGE("https://mitra.stanford.edu/kundaje/oak/projects/neuro-variants/variant_position/credible/roussos_2024/variant_figures/roussos_2024.adolescence.Astrocyte/rs1397242_profile_position.png",4,220,900)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0.0225239481999999</v>
      </c>
      <c r="G2818" t="n">
        <v>0.5048081395837927</v>
      </c>
      <c r="H2818" t="n">
        <v>0.0272406719806196</v>
      </c>
      <c r="I2818" t="n">
        <v>0.0460806053104251</v>
      </c>
      <c r="J2818" t="n">
        <v>0.0047050707652137</v>
      </c>
      <c r="K2818" t="n">
        <v>0.7506420089628359</v>
      </c>
      <c r="L2818" t="b">
        <v>0</v>
      </c>
      <c r="M2818" t="b">
        <v>0</v>
      </c>
      <c r="N2818" t="inlineStr">
        <is>
          <t>alt</t>
        </is>
      </c>
      <c r="O2818" t="n">
        <v>100</v>
      </c>
      <c r="P2818" t="n">
        <v>0.01077</v>
      </c>
      <c r="Q2818" t="n">
        <v>-35</v>
      </c>
      <c r="R2818" t="n">
        <v>0.0985</v>
      </c>
      <c r="S2818">
        <f>IMAGE("https://mitra.stanford.edu/kundaje/oak/projects/neuro-variants/variant_position/credible/roussos_2024/variant_figures/roussos_2024.adolescence.Astrocyte/rs13100661_count_position.png",4,220,900)</f>
        <v/>
      </c>
      <c r="T2818">
        <f>IMAGE("https://mitra.stanford.edu/kundaje/oak/projects/neuro-variants/variant_position/credible/roussos_2024/variant_figures/roussos_2024.adolescence.Astrocyte/rs13100661_profile_position.png",4,220,900)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-0.03446941736</v>
      </c>
      <c r="G2819" t="n">
        <v>0.3438771010102673</v>
      </c>
      <c r="H2819" t="n">
        <v>0.0169964239515122</v>
      </c>
      <c r="I2819" t="n">
        <v>0.2286917078032997</v>
      </c>
      <c r="J2819" t="n">
        <v>0.0317493991632791</v>
      </c>
      <c r="K2819" t="n">
        <v>0.5186246930491937</v>
      </c>
      <c r="L2819" t="b">
        <v>0</v>
      </c>
      <c r="M2819" t="b">
        <v>0</v>
      </c>
      <c r="N2819" t="inlineStr">
        <is>
          <t>ref</t>
        </is>
      </c>
      <c r="O2819" t="n">
        <v>30</v>
      </c>
      <c r="P2819" t="n">
        <v>0.001112</v>
      </c>
      <c r="Q2819" t="n">
        <v>-25</v>
      </c>
      <c r="R2819" t="n">
        <v>0.09959999999999999</v>
      </c>
      <c r="S2819">
        <f>IMAGE("https://mitra.stanford.edu/kundaje/oak/projects/neuro-variants/variant_position/credible/roussos_2024/variant_figures/roussos_2024.adolescence.Astrocyte/rs6791872_count_position.png",4,220,900)</f>
        <v/>
      </c>
      <c r="T2819">
        <f>IMAGE("https://mitra.stanford.edu/kundaje/oak/projects/neuro-variants/variant_position/credible/roussos_2024/variant_figures/roussos_2024.adolescence.Astrocyte/rs6791872_profile_position.png",4,220,900)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0.02698811786</v>
      </c>
      <c r="G2820" t="n">
        <v>0.4744718018046607</v>
      </c>
      <c r="H2820" t="n">
        <v>0.0075608248624744</v>
      </c>
      <c r="I2820" t="n">
        <v>0.9570804249255492</v>
      </c>
      <c r="J2820" t="n">
        <v>0.0304698394801648</v>
      </c>
      <c r="K2820" t="n">
        <v>0.5250440304011516</v>
      </c>
      <c r="L2820" t="b">
        <v>0</v>
      </c>
      <c r="M2820" t="b">
        <v>0</v>
      </c>
      <c r="N2820" t="inlineStr">
        <is>
          <t>alt</t>
        </is>
      </c>
      <c r="O2820" t="n">
        <v>70</v>
      </c>
      <c r="P2820" t="n">
        <v>0.003445</v>
      </c>
      <c r="Q2820" t="n">
        <v>-95</v>
      </c>
      <c r="R2820" t="n">
        <v>0.2136</v>
      </c>
      <c r="S2820">
        <f>IMAGE("https://mitra.stanford.edu/kundaje/oak/projects/neuro-variants/variant_position/credible/roussos_2024/variant_figures/roussos_2024.adolescence.Astrocyte/rs6779000_count_position.png",4,220,900)</f>
        <v/>
      </c>
      <c r="T2820">
        <f>IMAGE("https://mitra.stanford.edu/kundaje/oak/projects/neuro-variants/variant_position/credible/roussos_2024/variant_figures/roussos_2024.adolescence.Astrocyte/rs6779000_profile_position.png",4,220,900)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-0.0348960188</v>
      </c>
      <c r="G2821" t="n">
        <v>0.3590098642921003</v>
      </c>
      <c r="H2821" t="n">
        <v>0.0245456005883707</v>
      </c>
      <c r="I2821" t="n">
        <v>0.06697784841598139</v>
      </c>
      <c r="J2821" t="n">
        <v>0.0457830163486929</v>
      </c>
      <c r="K2821" t="n">
        <v>0.45788385764549</v>
      </c>
      <c r="L2821" t="b">
        <v>0</v>
      </c>
      <c r="M2821" t="b">
        <v>0</v>
      </c>
      <c r="N2821" t="inlineStr">
        <is>
          <t>ref</t>
        </is>
      </c>
      <c r="O2821" t="n">
        <v>-55</v>
      </c>
      <c r="P2821" t="n">
        <v>0.00583</v>
      </c>
      <c r="Q2821" t="n">
        <v>-90</v>
      </c>
      <c r="R2821" t="n">
        <v>0.1343</v>
      </c>
      <c r="S2821">
        <f>IMAGE("https://mitra.stanford.edu/kundaje/oak/projects/neuro-variants/variant_position/credible/roussos_2024/variant_figures/roussos_2024.adolescence.Astrocyte/rs35298688_count_position.png",4,220,900)</f>
        <v/>
      </c>
      <c r="T2821">
        <f>IMAGE("https://mitra.stanford.edu/kundaje/oak/projects/neuro-variants/variant_position/credible/roussos_2024/variant_figures/roussos_2024.adolescence.Astrocyte/rs35298688_profile_position.png",4,220,900)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0.196818086</v>
      </c>
      <c r="G2822" t="n">
        <v>0.0186390136500961</v>
      </c>
      <c r="H2822" t="n">
        <v>0.018459700623985</v>
      </c>
      <c r="I2822" t="n">
        <v>0.1763022698710509</v>
      </c>
      <c r="J2822" t="n">
        <v>0.1247537311218585</v>
      </c>
      <c r="K2822" t="n">
        <v>0.2935815178741302</v>
      </c>
      <c r="L2822" t="b">
        <v>1</v>
      </c>
      <c r="M2822" t="b">
        <v>0</v>
      </c>
      <c r="N2822" t="inlineStr">
        <is>
          <t>alt</t>
        </is>
      </c>
      <c r="O2822" t="n">
        <v>15</v>
      </c>
      <c r="P2822" t="n">
        <v>0.003248</v>
      </c>
      <c r="Q2822" t="n">
        <v>-100</v>
      </c>
      <c r="R2822" t="n">
        <v>0.10864</v>
      </c>
      <c r="S2822">
        <f>IMAGE("https://mitra.stanford.edu/kundaje/oak/projects/neuro-variants/variant_position/credible/roussos_2024/variant_figures/roussos_2024.adolescence.Astrocyte/rs6800277_count_position.png",4,220,900)</f>
        <v/>
      </c>
      <c r="T2822">
        <f>IMAGE("https://mitra.stanford.edu/kundaje/oak/projects/neuro-variants/variant_position/credible/roussos_2024/variant_figures/roussos_2024.adolescence.Astrocyte/rs6800277_profile_position.png",4,220,900)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-0.0510570526</v>
      </c>
      <c r="G2823" t="n">
        <v>0.2385887751925513</v>
      </c>
      <c r="H2823" t="n">
        <v>0.0150983040979879</v>
      </c>
      <c r="I2823" t="n">
        <v>0.3175798025517775</v>
      </c>
      <c r="J2823" t="n">
        <v>0.06900498471946109</v>
      </c>
      <c r="K2823" t="n">
        <v>0.4021100936849396</v>
      </c>
      <c r="L2823" t="b">
        <v>0</v>
      </c>
      <c r="M2823" t="b">
        <v>0</v>
      </c>
      <c r="N2823" t="inlineStr">
        <is>
          <t>ref</t>
        </is>
      </c>
      <c r="O2823" t="n">
        <v>65</v>
      </c>
      <c r="P2823" t="n">
        <v>0.012276</v>
      </c>
      <c r="Q2823" t="n">
        <v>-100</v>
      </c>
      <c r="R2823" t="n">
        <v>0.1338</v>
      </c>
      <c r="S2823">
        <f>IMAGE("https://mitra.stanford.edu/kundaje/oak/projects/neuro-variants/variant_position/credible/roussos_2024/variant_figures/roussos_2024.adolescence.Astrocyte/rs12637049_count_position.png",4,220,900)</f>
        <v/>
      </c>
      <c r="T2823">
        <f>IMAGE("https://mitra.stanford.edu/kundaje/oak/projects/neuro-variants/variant_position/credible/roussos_2024/variant_figures/roussos_2024.adolescence.Astrocyte/rs12637049_profile_position.png",4,220,900)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-0.2458681781999999</v>
      </c>
      <c r="G2824" t="n">
        <v>0.017737380578082</v>
      </c>
      <c r="H2824" t="n">
        <v>0.0308257674028535</v>
      </c>
      <c r="I2824" t="n">
        <v>0.0291082552767707</v>
      </c>
      <c r="J2824" t="n">
        <v>0.0766022312553778</v>
      </c>
      <c r="K2824" t="n">
        <v>0.3716905447533213</v>
      </c>
      <c r="L2824" t="b">
        <v>1</v>
      </c>
      <c r="M2824" t="b">
        <v>0</v>
      </c>
      <c r="N2824" t="inlineStr">
        <is>
          <t>ref</t>
        </is>
      </c>
      <c r="O2824" t="n">
        <v>-45</v>
      </c>
      <c r="P2824" t="n">
        <v>0.004883</v>
      </c>
      <c r="Q2824" t="n">
        <v>100</v>
      </c>
      <c r="R2824" t="n">
        <v>0.07324</v>
      </c>
      <c r="S2824">
        <f>IMAGE("https://mitra.stanford.edu/kundaje/oak/projects/neuro-variants/variant_position/credible/roussos_2024/variant_figures/roussos_2024.adolescence.Astrocyte/rs61342226_count_position.png",4,220,900)</f>
        <v/>
      </c>
      <c r="T2824">
        <f>IMAGE("https://mitra.stanford.edu/kundaje/oak/projects/neuro-variants/variant_position/credible/roussos_2024/variant_figures/roussos_2024.adolescence.Astrocyte/rs61342226_profile_position.png",4,220,900)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-0.20005571</v>
      </c>
      <c r="G2825" t="n">
        <v>0.0186392147196654</v>
      </c>
      <c r="H2825" t="n">
        <v>0.0235778883967251</v>
      </c>
      <c r="I2825" t="n">
        <v>0.0778391362752348</v>
      </c>
      <c r="J2825" t="n">
        <v>0.0725944277957451</v>
      </c>
      <c r="K2825" t="n">
        <v>0.3811091725728716</v>
      </c>
      <c r="L2825" t="b">
        <v>1</v>
      </c>
      <c r="M2825" t="b">
        <v>0</v>
      </c>
      <c r="N2825" t="inlineStr">
        <is>
          <t>ref</t>
        </is>
      </c>
      <c r="O2825" t="n">
        <v>-40</v>
      </c>
      <c r="P2825" t="n">
        <v>0.01672</v>
      </c>
      <c r="Q2825" t="n">
        <v>35</v>
      </c>
      <c r="R2825" t="n">
        <v>0.08203000000000001</v>
      </c>
      <c r="S2825">
        <f>IMAGE("https://mitra.stanford.edu/kundaje/oak/projects/neuro-variants/variant_position/credible/roussos_2024/variant_figures/roussos_2024.adolescence.Astrocyte/rs34809784_count_position.png",4,220,900)</f>
        <v/>
      </c>
      <c r="T2825">
        <f>IMAGE("https://mitra.stanford.edu/kundaje/oak/projects/neuro-variants/variant_position/credible/roussos_2024/variant_figures/roussos_2024.adolescence.Astrocyte/rs34809784_profile_position.png",4,220,900)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-0.005028338132</v>
      </c>
      <c r="G2826" t="n">
        <v>0.7799371801754297</v>
      </c>
      <c r="H2826" t="n">
        <v>0.0271277936305622</v>
      </c>
      <c r="I2826" t="n">
        <v>0.0465988936224808</v>
      </c>
      <c r="J2826" t="n">
        <v>0.0039373349553451</v>
      </c>
      <c r="K2826" t="n">
        <v>0.7614989641620504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0.05945</v>
      </c>
      <c r="Q2826" t="n">
        <v>45</v>
      </c>
      <c r="R2826" t="n">
        <v>0.03052</v>
      </c>
      <c r="S2826">
        <f>IMAGE("https://mitra.stanford.edu/kundaje/oak/projects/neuro-variants/variant_position/credible/roussos_2024/variant_figures/roussos_2024.adolescence.Astrocyte/rs13098556_count_position.png",4,220,900)</f>
        <v/>
      </c>
      <c r="T2826">
        <f>IMAGE("https://mitra.stanford.edu/kundaje/oak/projects/neuro-variants/variant_position/credible/roussos_2024/variant_figures/roussos_2024.adolescence.Astrocyte/rs13098556_profile_position.png",4,220,900)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-0.04038206564</v>
      </c>
      <c r="G2827" t="n">
        <v>0.0749386048244986</v>
      </c>
      <c r="H2827" t="n">
        <v>0.0249903263735376</v>
      </c>
      <c r="I2827" t="n">
        <v>0.0667682667879399</v>
      </c>
      <c r="J2827" t="n">
        <v>0.07120656914814701</v>
      </c>
      <c r="K2827" t="n">
        <v>0.3918208328484902</v>
      </c>
      <c r="L2827" t="b">
        <v>0</v>
      </c>
      <c r="M2827" t="b">
        <v>0</v>
      </c>
      <c r="N2827" t="inlineStr">
        <is>
          <t>ref</t>
        </is>
      </c>
      <c r="O2827" t="n">
        <v>-65</v>
      </c>
      <c r="P2827" t="n">
        <v>0.0259</v>
      </c>
      <c r="Q2827" t="n">
        <v>-65</v>
      </c>
      <c r="R2827" t="n">
        <v>0.1177</v>
      </c>
      <c r="S2827">
        <f>IMAGE("https://mitra.stanford.edu/kundaje/oak/projects/neuro-variants/variant_position/credible/roussos_2024/variant_figures/roussos_2024.adolescence.Astrocyte/rs12629678_count_position.png",4,220,900)</f>
        <v/>
      </c>
      <c r="T2827">
        <f>IMAGE("https://mitra.stanford.edu/kundaje/oak/projects/neuro-variants/variant_position/credible/roussos_2024/variant_figures/roussos_2024.adolescence.Astrocyte/rs12629678_profile_position.png",4,220,900)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-0.0686223078</v>
      </c>
      <c r="G2828" t="n">
        <v>0.1578211384547313</v>
      </c>
      <c r="H2828" t="n">
        <v>0.0140189349384324</v>
      </c>
      <c r="I2828" t="n">
        <v>0.3832997766881214</v>
      </c>
      <c r="J2828" t="n">
        <v>0.0454462510755718</v>
      </c>
      <c r="K2828" t="n">
        <v>0.4539830387160525</v>
      </c>
      <c r="L2828" t="b">
        <v>0</v>
      </c>
      <c r="M2828" t="b">
        <v>0</v>
      </c>
      <c r="N2828" t="inlineStr">
        <is>
          <t>ref</t>
        </is>
      </c>
      <c r="O2828" t="n">
        <v>-100</v>
      </c>
      <c r="P2828" t="n">
        <v>0.0234</v>
      </c>
      <c r="Q2828" t="n">
        <v>-85</v>
      </c>
      <c r="R2828" t="n">
        <v>0.1768</v>
      </c>
      <c r="S2828">
        <f>IMAGE("https://mitra.stanford.edu/kundaje/oak/projects/neuro-variants/variant_position/credible/roussos_2024/variant_figures/roussos_2024.adolescence.Astrocyte/rs13090291_count_position.png",4,220,900)</f>
        <v/>
      </c>
      <c r="T2828">
        <f>IMAGE("https://mitra.stanford.edu/kundaje/oak/projects/neuro-variants/variant_position/credible/roussos_2024/variant_figures/roussos_2024.adolescence.Astrocyte/rs13090291_profile_position.png",4,220,900)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0.0644081358</v>
      </c>
      <c r="G2829" t="n">
        <v>0.1727996816054833</v>
      </c>
      <c r="H2829" t="n">
        <v>0.0148479333152427</v>
      </c>
      <c r="I2829" t="n">
        <v>0.3395510996657374</v>
      </c>
      <c r="J2829" t="n">
        <v>0.0464721241432512</v>
      </c>
      <c r="K2829" t="n">
        <v>0.4536980972689762</v>
      </c>
      <c r="L2829" t="b">
        <v>0</v>
      </c>
      <c r="M2829" t="b">
        <v>0</v>
      </c>
      <c r="N2829" t="inlineStr">
        <is>
          <t>alt</t>
        </is>
      </c>
      <c r="O2829" t="n">
        <v>80</v>
      </c>
      <c r="P2829" t="n">
        <v>0.013084</v>
      </c>
      <c r="Q2829" t="n">
        <v>-100</v>
      </c>
      <c r="R2829" t="n">
        <v>0.0393</v>
      </c>
      <c r="S2829">
        <f>IMAGE("https://mitra.stanford.edu/kundaje/oak/projects/neuro-variants/variant_position/credible/roussos_2024/variant_figures/roussos_2024.adolescence.Astrocyte/rs1119975_count_position.png",4,220,900)</f>
        <v/>
      </c>
      <c r="T2829">
        <f>IMAGE("https://mitra.stanford.edu/kundaje/oak/projects/neuro-variants/variant_position/credible/roussos_2024/variant_figures/roussos_2024.adolescence.Astrocyte/rs1119975_profile_position.png",4,220,900)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0.0353182106</v>
      </c>
      <c r="G2830" t="n">
        <v>0.3324882430706425</v>
      </c>
      <c r="H2830" t="n">
        <v>0.011024712187737</v>
      </c>
      <c r="I2830" t="n">
        <v>0.6365186715016566</v>
      </c>
      <c r="J2830" t="n">
        <v>0.0142598581728629</v>
      </c>
      <c r="K2830" t="n">
        <v>0.6351329630390253</v>
      </c>
      <c r="L2830" t="b">
        <v>0</v>
      </c>
      <c r="M2830" t="b">
        <v>0</v>
      </c>
      <c r="N2830" t="inlineStr">
        <is>
          <t>alt</t>
        </is>
      </c>
      <c r="O2830" t="n">
        <v>-100</v>
      </c>
      <c r="P2830" t="n">
        <v>0.0968</v>
      </c>
      <c r="Q2830" t="n">
        <v>60</v>
      </c>
      <c r="R2830" t="n">
        <v>0.05286</v>
      </c>
      <c r="S2830">
        <f>IMAGE("https://mitra.stanford.edu/kundaje/oak/projects/neuro-variants/variant_position/credible/roussos_2024/variant_figures/roussos_2024.adolescence.Astrocyte/rs35626895_count_position.png",4,220,900)</f>
        <v/>
      </c>
      <c r="T2830">
        <f>IMAGE("https://mitra.stanford.edu/kundaje/oak/projects/neuro-variants/variant_position/credible/roussos_2024/variant_figures/roussos_2024.adolescence.Astrocyte/rs35626895_profile_position.png",4,220,900)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0.0011493965799999</v>
      </c>
      <c r="G2831" t="n">
        <v>0.8244504010584982</v>
      </c>
      <c r="H2831" t="n">
        <v>0.0227743421564951</v>
      </c>
      <c r="I2831" t="n">
        <v>0.088395249359978</v>
      </c>
      <c r="J2831" t="n">
        <v>0.0105153843871465</v>
      </c>
      <c r="K2831" t="n">
        <v>0.6686476563621787</v>
      </c>
      <c r="L2831" t="b">
        <v>0</v>
      </c>
      <c r="M2831" t="b">
        <v>0</v>
      </c>
      <c r="N2831" t="inlineStr">
        <is>
          <t>alt</t>
        </is>
      </c>
      <c r="O2831" t="n">
        <v>-95</v>
      </c>
      <c r="P2831" t="n">
        <v>0.004066</v>
      </c>
      <c r="Q2831" t="n">
        <v>-90</v>
      </c>
      <c r="R2831" t="n">
        <v>0.03897</v>
      </c>
      <c r="S2831">
        <f>IMAGE("https://mitra.stanford.edu/kundaje/oak/projects/neuro-variants/variant_position/credible/roussos_2024/variant_figures/roussos_2024.adolescence.Astrocyte/rs871932_count_position.png",4,220,900)</f>
        <v/>
      </c>
      <c r="T2831">
        <f>IMAGE("https://mitra.stanford.edu/kundaje/oak/projects/neuro-variants/variant_position/credible/roussos_2024/variant_figures/roussos_2024.adolescence.Astrocyte/rs871932_profile_position.png",4,220,900)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-0.02368938552</v>
      </c>
      <c r="G2832" t="n">
        <v>0.5078018211585702</v>
      </c>
      <c r="H2832" t="n">
        <v>0.0150759689474419</v>
      </c>
      <c r="I2832" t="n">
        <v>0.3201575836922626</v>
      </c>
      <c r="J2832" t="n">
        <v>0.001416046049313</v>
      </c>
      <c r="K2832" t="n">
        <v>0.8544994365978952</v>
      </c>
      <c r="L2832" t="b">
        <v>0</v>
      </c>
      <c r="M2832" t="b">
        <v>0</v>
      </c>
      <c r="N2832" t="inlineStr">
        <is>
          <t>ref</t>
        </is>
      </c>
      <c r="O2832" t="n">
        <v>0</v>
      </c>
      <c r="P2832" t="n">
        <v>0</v>
      </c>
      <c r="Q2832" t="n">
        <v>60</v>
      </c>
      <c r="R2832" t="n">
        <v>0.03952</v>
      </c>
      <c r="S2832">
        <f>IMAGE("https://mitra.stanford.edu/kundaje/oak/projects/neuro-variants/variant_position/credible/roussos_2024/variant_figures/roussos_2024.adolescence.Astrocyte/rs6804840_count_position.png",4,220,900)</f>
        <v/>
      </c>
      <c r="T2832">
        <f>IMAGE("https://mitra.stanford.edu/kundaje/oak/projects/neuro-variants/variant_position/credible/roussos_2024/variant_figures/roussos_2024.adolescence.Astrocyte/rs6804840_profile_position.png",4,220,900)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-0.0823062282</v>
      </c>
      <c r="G2833" t="n">
        <v>0.1331031735986814</v>
      </c>
      <c r="H2833" t="n">
        <v>0.0127602277567569</v>
      </c>
      <c r="I2833" t="n">
        <v>0.4837743907046663</v>
      </c>
      <c r="J2833" t="n">
        <v>0.0040856897012135</v>
      </c>
      <c r="K2833" t="n">
        <v>0.7890639789069996</v>
      </c>
      <c r="L2833" t="b">
        <v>0</v>
      </c>
      <c r="M2833" t="b">
        <v>0</v>
      </c>
      <c r="N2833" t="inlineStr">
        <is>
          <t>ref</t>
        </is>
      </c>
      <c r="O2833" t="n">
        <v>-100</v>
      </c>
      <c r="P2833" t="n">
        <v>0.009209999999999999</v>
      </c>
      <c r="Q2833" t="n">
        <v>-100</v>
      </c>
      <c r="R2833" t="n">
        <v>0.2732</v>
      </c>
      <c r="S2833">
        <f>IMAGE("https://mitra.stanford.edu/kundaje/oak/projects/neuro-variants/variant_position/credible/roussos_2024/variant_figures/roussos_2024.adolescence.Astrocyte/rs35797074_count_position.png",4,220,900)</f>
        <v/>
      </c>
      <c r="T2833">
        <f>IMAGE("https://mitra.stanford.edu/kundaje/oak/projects/neuro-variants/variant_position/credible/roussos_2024/variant_figures/roussos_2024.adolescence.Astrocyte/rs35797074_profile_position.png",4,220,900)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0.07141859319999989</v>
      </c>
      <c r="G2834" t="n">
        <v>0.138059867773522</v>
      </c>
      <c r="H2834" t="n">
        <v>0.0105582003788168</v>
      </c>
      <c r="I2834" t="n">
        <v>0.6973831884991594</v>
      </c>
      <c r="J2834" t="n">
        <v>0.0059927899593507</v>
      </c>
      <c r="K2834" t="n">
        <v>0.7311619083923112</v>
      </c>
      <c r="L2834" t="b">
        <v>0</v>
      </c>
      <c r="M2834" t="b">
        <v>0</v>
      </c>
      <c r="N2834" t="inlineStr">
        <is>
          <t>alt</t>
        </is>
      </c>
      <c r="O2834" t="n">
        <v>85</v>
      </c>
      <c r="P2834" t="n">
        <v>0.001007</v>
      </c>
      <c r="Q2834" t="n">
        <v>-40</v>
      </c>
      <c r="R2834" t="n">
        <v>0.04575</v>
      </c>
      <c r="S2834">
        <f>IMAGE("https://mitra.stanford.edu/kundaje/oak/projects/neuro-variants/variant_position/credible/roussos_2024/variant_figures/roussos_2024.adolescence.Astrocyte/rs12638648_count_position.png",4,220,900)</f>
        <v/>
      </c>
      <c r="T2834">
        <f>IMAGE("https://mitra.stanford.edu/kundaje/oak/projects/neuro-variants/variant_position/credible/roussos_2024/variant_figures/roussos_2024.adolescence.Astrocyte/rs12638648_profile_position.png",4,220,900)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0.01017557714</v>
      </c>
      <c r="G2835" t="n">
        <v>0.6735668895468161</v>
      </c>
      <c r="H2835" t="n">
        <v>0.0356076372423468</v>
      </c>
      <c r="I2835" t="n">
        <v>0.0156392190995222</v>
      </c>
      <c r="J2835" t="n">
        <v>0.0080779159125299</v>
      </c>
      <c r="K2835" t="n">
        <v>0.7097944282010754</v>
      </c>
      <c r="L2835" t="b">
        <v>0</v>
      </c>
      <c r="M2835" t="b">
        <v>0</v>
      </c>
      <c r="N2835" t="inlineStr">
        <is>
          <t>alt</t>
        </is>
      </c>
      <c r="O2835" t="n">
        <v>25</v>
      </c>
      <c r="P2835" t="n">
        <v>0.004913</v>
      </c>
      <c r="Q2835" t="n">
        <v>95</v>
      </c>
      <c r="R2835" t="n">
        <v>0.0737</v>
      </c>
      <c r="S2835">
        <f>IMAGE("https://mitra.stanford.edu/kundaje/oak/projects/neuro-variants/variant_position/credible/roussos_2024/variant_figures/roussos_2024.adolescence.Astrocyte/rs6789240_count_position.png",4,220,900)</f>
        <v/>
      </c>
      <c r="T2835">
        <f>IMAGE("https://mitra.stanford.edu/kundaje/oak/projects/neuro-variants/variant_position/credible/roussos_2024/variant_figures/roussos_2024.adolescence.Astrocyte/rs6789240_profile_position.png",4,220,900)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-0.0116666586</v>
      </c>
      <c r="G2836" t="n">
        <v>0.7113355312089874</v>
      </c>
      <c r="H2836" t="n">
        <v>0.0241632971727798</v>
      </c>
      <c r="I2836" t="n">
        <v>0.0712399983133033</v>
      </c>
      <c r="J2836" t="n">
        <v>9.717235854372245e-05</v>
      </c>
      <c r="K2836" t="n">
        <v>0.980855762364641</v>
      </c>
      <c r="L2836" t="b">
        <v>0</v>
      </c>
      <c r="M2836" t="b">
        <v>0</v>
      </c>
      <c r="N2836" t="inlineStr">
        <is>
          <t>ref</t>
        </is>
      </c>
      <c r="O2836" t="n">
        <v>-55</v>
      </c>
      <c r="P2836" t="n">
        <v>0.004795</v>
      </c>
      <c r="Q2836" t="n">
        <v>-55</v>
      </c>
      <c r="R2836" t="n">
        <v>0.04242</v>
      </c>
      <c r="S2836">
        <f>IMAGE("https://mitra.stanford.edu/kundaje/oak/projects/neuro-variants/variant_position/credible/roussos_2024/variant_figures/roussos_2024.adolescence.Astrocyte/rs13088846_count_position.png",4,220,900)</f>
        <v/>
      </c>
      <c r="T2836">
        <f>IMAGE("https://mitra.stanford.edu/kundaje/oak/projects/neuro-variants/variant_position/credible/roussos_2024/variant_figures/roussos_2024.adolescence.Astrocyte/rs13088846_profile_position.png",4,220,900)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-0.19638381</v>
      </c>
      <c r="G2837" t="n">
        <v>0.0198011785751884</v>
      </c>
      <c r="H2837" t="n">
        <v>0.0286138729232648</v>
      </c>
      <c r="I2837" t="n">
        <v>0.0382265236418388</v>
      </c>
      <c r="J2837" t="n">
        <v>0.0186897308844909</v>
      </c>
      <c r="K2837" t="n">
        <v>0.5892100683732417</v>
      </c>
      <c r="L2837" t="b">
        <v>1</v>
      </c>
      <c r="M2837" t="b">
        <v>0</v>
      </c>
      <c r="N2837" t="inlineStr">
        <is>
          <t>ref</t>
        </is>
      </c>
      <c r="O2837" t="n">
        <v>-75</v>
      </c>
      <c r="P2837" t="n">
        <v>0.0177</v>
      </c>
      <c r="Q2837" t="n">
        <v>50</v>
      </c>
      <c r="R2837" t="n">
        <v>0.1676</v>
      </c>
      <c r="S2837">
        <f>IMAGE("https://mitra.stanford.edu/kundaje/oak/projects/neuro-variants/variant_position/credible/roussos_2024/variant_figures/roussos_2024.adolescence.Astrocyte/rs6792256_count_position.png",4,220,900)</f>
        <v/>
      </c>
      <c r="T2837">
        <f>IMAGE("https://mitra.stanford.edu/kundaje/oak/projects/neuro-variants/variant_position/credible/roussos_2024/variant_figures/roussos_2024.adolescence.Astrocyte/rs6792256_profile_position.png",4,220,900)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-0.0089269364</v>
      </c>
      <c r="G2838" t="n">
        <v>0.559330424653416</v>
      </c>
      <c r="H2838" t="n">
        <v>0.0156210734368629</v>
      </c>
      <c r="I2838" t="n">
        <v>0.2886472764843452</v>
      </c>
      <c r="J2838" t="n">
        <v>0.0401247663412752</v>
      </c>
      <c r="K2838" t="n">
        <v>0.4750994529784454</v>
      </c>
      <c r="L2838" t="b">
        <v>0</v>
      </c>
      <c r="M2838" t="b">
        <v>0</v>
      </c>
      <c r="N2838" t="inlineStr">
        <is>
          <t>ref</t>
        </is>
      </c>
      <c r="O2838" t="n">
        <v>5</v>
      </c>
      <c r="P2838" t="n">
        <v>0.001129</v>
      </c>
      <c r="Q2838" t="n">
        <v>-60</v>
      </c>
      <c r="R2838" t="n">
        <v>0.01697</v>
      </c>
      <c r="S2838">
        <f>IMAGE("https://mitra.stanford.edu/kundaje/oak/projects/neuro-variants/variant_position/credible/roussos_2024/variant_figures/roussos_2024.adolescence.Astrocyte/rs7612699_count_position.png",4,220,900)</f>
        <v/>
      </c>
      <c r="T2838">
        <f>IMAGE("https://mitra.stanford.edu/kundaje/oak/projects/neuro-variants/variant_position/credible/roussos_2024/variant_figures/roussos_2024.adolescence.Astrocyte/rs7612699_profile_position.png",4,220,900)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0.0277294588</v>
      </c>
      <c r="G2839" t="n">
        <v>0.3623160044195339</v>
      </c>
      <c r="H2839" t="n">
        <v>0.0105357737082176</v>
      </c>
      <c r="I2839" t="n">
        <v>0.6887559242052924</v>
      </c>
      <c r="J2839" t="n">
        <v>0.0239244280924546</v>
      </c>
      <c r="K2839" t="n">
        <v>0.5530644285570185</v>
      </c>
      <c r="L2839" t="b">
        <v>0</v>
      </c>
      <c r="M2839" t="b">
        <v>0</v>
      </c>
      <c r="N2839" t="inlineStr">
        <is>
          <t>alt</t>
        </is>
      </c>
      <c r="O2839" t="n">
        <v>30</v>
      </c>
      <c r="P2839" t="n">
        <v>0.004505</v>
      </c>
      <c r="Q2839" t="n">
        <v>-100</v>
      </c>
      <c r="R2839" t="n">
        <v>0.166</v>
      </c>
      <c r="S2839">
        <f>IMAGE("https://mitra.stanford.edu/kundaje/oak/projects/neuro-variants/variant_position/credible/roussos_2024/variant_figures/roussos_2024.adolescence.Astrocyte/rs6983_count_position.png",4,220,900)</f>
        <v/>
      </c>
      <c r="T2839">
        <f>IMAGE("https://mitra.stanford.edu/kundaje/oak/projects/neuro-variants/variant_position/credible/roussos_2024/variant_figures/roussos_2024.adolescence.Astrocyte/rs6983_profile_position.png",4,220,900)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-0.0449836917</v>
      </c>
      <c r="G2840" t="n">
        <v>0.2848712276726888</v>
      </c>
      <c r="H2840" t="n">
        <v>0.0134053580336693</v>
      </c>
      <c r="I2840" t="n">
        <v>0.4357013147443556</v>
      </c>
      <c r="J2840" t="n">
        <v>0.0971701332225617</v>
      </c>
      <c r="K2840" t="n">
        <v>0.3252744861666253</v>
      </c>
      <c r="L2840" t="b">
        <v>0</v>
      </c>
      <c r="M2840" t="b">
        <v>0</v>
      </c>
      <c r="N2840" t="inlineStr">
        <is>
          <t>ref</t>
        </is>
      </c>
      <c r="O2840" t="n">
        <v>-75</v>
      </c>
      <c r="P2840" t="n">
        <v>0.01352</v>
      </c>
      <c r="Q2840" t="n">
        <v>-10</v>
      </c>
      <c r="R2840" t="n">
        <v>0.05615</v>
      </c>
      <c r="S2840">
        <f>IMAGE("https://mitra.stanford.edu/kundaje/oak/projects/neuro-variants/variant_position/credible/roussos_2024/variant_figures/roussos_2024.adolescence.Astrocyte/rs9825834_count_position.png",4,220,900)</f>
        <v/>
      </c>
      <c r="T2840">
        <f>IMAGE("https://mitra.stanford.edu/kundaje/oak/projects/neuro-variants/variant_position/credible/roussos_2024/variant_figures/roussos_2024.adolescence.Astrocyte/rs9825834_profile_position.png",4,220,900)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0.006638421238</v>
      </c>
      <c r="G2841" t="n">
        <v>0.8175452964847227</v>
      </c>
      <c r="H2841" t="n">
        <v>0.0268991725776502</v>
      </c>
      <c r="I2841" t="n">
        <v>0.0490157187583217</v>
      </c>
      <c r="J2841" t="n">
        <v>0.0364092217310031</v>
      </c>
      <c r="K2841" t="n">
        <v>0.4962900270265403</v>
      </c>
      <c r="L2841" t="b">
        <v>0</v>
      </c>
      <c r="M2841" t="b">
        <v>0</v>
      </c>
      <c r="N2841" t="inlineStr">
        <is>
          <t>alt</t>
        </is>
      </c>
      <c r="O2841" t="n">
        <v>-70</v>
      </c>
      <c r="P2841" t="n">
        <v>0.05328</v>
      </c>
      <c r="Q2841" t="n">
        <v>-40</v>
      </c>
      <c r="R2841" t="n">
        <v>0.3389</v>
      </c>
      <c r="S2841">
        <f>IMAGE("https://mitra.stanford.edu/kundaje/oak/projects/neuro-variants/variant_position/credible/roussos_2024/variant_figures/roussos_2024.adolescence.Astrocyte/rs28649009_count_position.png",4,220,900)</f>
        <v/>
      </c>
      <c r="T2841">
        <f>IMAGE("https://mitra.stanford.edu/kundaje/oak/projects/neuro-variants/variant_position/credible/roussos_2024/variant_figures/roussos_2024.adolescence.Astrocyte/rs28649009_profile_position.png",4,220,900)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-0.0503357975999999</v>
      </c>
      <c r="G2842" t="n">
        <v>0.255569147788273</v>
      </c>
      <c r="H2842" t="n">
        <v>0.0245935286899538</v>
      </c>
      <c r="I2842" t="n">
        <v>0.0669359929087424</v>
      </c>
      <c r="J2842" t="n">
        <v>0.0175051182387324</v>
      </c>
      <c r="K2842" t="n">
        <v>0.6067617114549366</v>
      </c>
      <c r="L2842" t="b">
        <v>0</v>
      </c>
      <c r="M2842" t="b">
        <v>0</v>
      </c>
      <c r="N2842" t="inlineStr">
        <is>
          <t>ref</t>
        </is>
      </c>
      <c r="O2842" t="n">
        <v>-60</v>
      </c>
      <c r="P2842" t="n">
        <v>0.002762</v>
      </c>
      <c r="Q2842" t="n">
        <v>-50</v>
      </c>
      <c r="R2842" t="n">
        <v>0.177</v>
      </c>
      <c r="S2842">
        <f>IMAGE("https://mitra.stanford.edu/kundaje/oak/projects/neuro-variants/variant_position/credible/roussos_2024/variant_figures/roussos_2024.adolescence.Astrocyte/rs9838212_count_position.png",4,220,900)</f>
        <v/>
      </c>
      <c r="T2842">
        <f>IMAGE("https://mitra.stanford.edu/kundaje/oak/projects/neuro-variants/variant_position/credible/roussos_2024/variant_figures/roussos_2024.adolescence.Astrocyte/rs9838212_profile_position.png",4,220,900)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0.0202676727</v>
      </c>
      <c r="G2843" t="n">
        <v>0.5445457689145174</v>
      </c>
      <c r="H2843" t="n">
        <v>0.0508422229954799</v>
      </c>
      <c r="I2843" t="n">
        <v>0.0037294760550663</v>
      </c>
      <c r="J2843" t="n">
        <v>0.0054742901225409</v>
      </c>
      <c r="K2843" t="n">
        <v>0.7292419287010679</v>
      </c>
      <c r="L2843" t="b">
        <v>0</v>
      </c>
      <c r="M2843" t="b">
        <v>0</v>
      </c>
      <c r="N2843" t="inlineStr">
        <is>
          <t>alt</t>
        </is>
      </c>
      <c r="O2843" t="n">
        <v>80</v>
      </c>
      <c r="P2843" t="n">
        <v>0.005737</v>
      </c>
      <c r="Q2843" t="n">
        <v>-65</v>
      </c>
      <c r="R2843" t="n">
        <v>0.153</v>
      </c>
      <c r="S2843">
        <f>IMAGE("https://mitra.stanford.edu/kundaje/oak/projects/neuro-variants/variant_position/credible/roussos_2024/variant_figures/roussos_2024.adolescence.Astrocyte/rs9854353_count_position.png",4,220,900)</f>
        <v/>
      </c>
      <c r="T2843">
        <f>IMAGE("https://mitra.stanford.edu/kundaje/oak/projects/neuro-variants/variant_position/credible/roussos_2024/variant_figures/roussos_2024.adolescence.Astrocyte/rs9854353_profile_position.png",4,220,900)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-0.0314139931</v>
      </c>
      <c r="G2844" t="n">
        <v>0.3944359698875772</v>
      </c>
      <c r="H2844" t="n">
        <v>0.0207148815686632</v>
      </c>
      <c r="I2844" t="n">
        <v>0.1210723645394825</v>
      </c>
      <c r="J2844" t="n">
        <v>0.0013426104501082</v>
      </c>
      <c r="K2844" t="n">
        <v>0.8713610655228039</v>
      </c>
      <c r="L2844" t="b">
        <v>0</v>
      </c>
      <c r="M2844" t="b">
        <v>0</v>
      </c>
      <c r="N2844" t="inlineStr">
        <is>
          <t>ref</t>
        </is>
      </c>
      <c r="O2844" t="n">
        <v>100</v>
      </c>
      <c r="P2844" t="n">
        <v>0.00908</v>
      </c>
      <c r="Q2844" t="n">
        <v>-90</v>
      </c>
      <c r="R2844" t="n">
        <v>0.09045</v>
      </c>
      <c r="S2844">
        <f>IMAGE("https://mitra.stanford.edu/kundaje/oak/projects/neuro-variants/variant_position/credible/roussos_2024/variant_figures/roussos_2024.adolescence.Astrocyte/rs3866226_count_position.png",4,220,900)</f>
        <v/>
      </c>
      <c r="T2844">
        <f>IMAGE("https://mitra.stanford.edu/kundaje/oak/projects/neuro-variants/variant_position/credible/roussos_2024/variant_figures/roussos_2024.adolescence.Astrocyte/rs3866226_profile_position.png",4,220,900)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-0.326002496</v>
      </c>
      <c r="G2845" t="n">
        <v>0.0052286751210566</v>
      </c>
      <c r="H2845" t="n">
        <v>0.0375737033600894</v>
      </c>
      <c r="I2845" t="n">
        <v>0.0141467032587595</v>
      </c>
      <c r="J2845" t="n">
        <v>0.2853618372251728</v>
      </c>
      <c r="K2845" t="n">
        <v>0.1425241140577217</v>
      </c>
      <c r="L2845" t="b">
        <v>1</v>
      </c>
      <c r="M2845" t="b">
        <v>1</v>
      </c>
      <c r="N2845" t="inlineStr">
        <is>
          <t>ref</t>
        </is>
      </c>
      <c r="O2845" t="n">
        <v>100</v>
      </c>
      <c r="P2845" t="n">
        <v>0.01262</v>
      </c>
      <c r="Q2845" t="n">
        <v>-10</v>
      </c>
      <c r="R2845" t="n">
        <v>0.00232</v>
      </c>
      <c r="S2845">
        <f>IMAGE("https://mitra.stanford.edu/kundaje/oak/projects/neuro-variants/variant_position/credible/roussos_2024/variant_figures/roussos_2024.adolescence.Astrocyte/rs875250_count_position.png",4,220,900)</f>
        <v/>
      </c>
      <c r="T2845">
        <f>IMAGE("https://mitra.stanford.edu/kundaje/oak/projects/neuro-variants/variant_position/credible/roussos_2024/variant_figures/roussos_2024.adolescence.Astrocyte/rs875250_profile_position.png",4,220,900)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0.04281993226</v>
      </c>
      <c r="G2846" t="n">
        <v>0.3029480234612824</v>
      </c>
      <c r="H2846" t="n">
        <v>0.0138389856738281</v>
      </c>
      <c r="I2846" t="n">
        <v>0.4002303773113143</v>
      </c>
      <c r="J2846" t="n">
        <v>0.01855546983948</v>
      </c>
      <c r="K2846" t="n">
        <v>0.57758785929343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0.01058</v>
      </c>
      <c r="Q2846" t="n">
        <v>-5</v>
      </c>
      <c r="R2846" t="n">
        <v>0.01087</v>
      </c>
      <c r="S2846">
        <f>IMAGE("https://mitra.stanford.edu/kundaje/oak/projects/neuro-variants/variant_position/credible/roussos_2024/variant_figures/roussos_2024.adolescence.Astrocyte/rs62291400_count_position.png",4,220,900)</f>
        <v/>
      </c>
      <c r="T2846">
        <f>IMAGE("https://mitra.stanford.edu/kundaje/oak/projects/neuro-variants/variant_position/credible/roussos_2024/variant_figures/roussos_2024.adolescence.Astrocyte/rs62291400_profile_position.png",4,220,900)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0.07532244019999999</v>
      </c>
      <c r="G2847" t="n">
        <v>0.1321030987766019</v>
      </c>
      <c r="H2847" t="n">
        <v>0.0138360246590165</v>
      </c>
      <c r="I2847" t="n">
        <v>0.4013263250971856</v>
      </c>
      <c r="J2847" t="n">
        <v>0.0024033468830667</v>
      </c>
      <c r="K2847" t="n">
        <v>0.8150137938235141</v>
      </c>
      <c r="L2847" t="b">
        <v>0</v>
      </c>
      <c r="M2847" t="b">
        <v>0</v>
      </c>
      <c r="N2847" t="inlineStr">
        <is>
          <t>alt</t>
        </is>
      </c>
      <c r="O2847" t="n">
        <v>50</v>
      </c>
      <c r="P2847" t="n">
        <v>0.02036</v>
      </c>
      <c r="Q2847" t="n">
        <v>100</v>
      </c>
      <c r="R2847" t="n">
        <v>0.2368</v>
      </c>
      <c r="S2847">
        <f>IMAGE("https://mitra.stanford.edu/kundaje/oak/projects/neuro-variants/variant_position/credible/roussos_2024/variant_figures/roussos_2024.adolescence.Astrocyte/rs62291403_count_position.png",4,220,900)</f>
        <v/>
      </c>
      <c r="T2847">
        <f>IMAGE("https://mitra.stanford.edu/kundaje/oak/projects/neuro-variants/variant_position/credible/roussos_2024/variant_figures/roussos_2024.adolescence.Astrocyte/rs62291403_profile_position.png",4,220,900)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0.0526537972</v>
      </c>
      <c r="G2848" t="n">
        <v>0.2256286261765806</v>
      </c>
      <c r="H2848" t="n">
        <v>0.0181913518383161</v>
      </c>
      <c r="I2848" t="n">
        <v>0.1859772812429905</v>
      </c>
      <c r="J2848" t="n">
        <v>0.1383044536094709</v>
      </c>
      <c r="K2848" t="n">
        <v>0.2742511700025265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0.01299</v>
      </c>
      <c r="Q2848" t="n">
        <v>-60</v>
      </c>
      <c r="R2848" t="n">
        <v>0.1469</v>
      </c>
      <c r="S2848">
        <f>IMAGE("https://mitra.stanford.edu/kundaje/oak/projects/neuro-variants/variant_position/credible/roussos_2024/variant_figures/roussos_2024.adolescence.Astrocyte/rs13098541_count_position.png",4,220,900)</f>
        <v/>
      </c>
      <c r="T2848">
        <f>IMAGE("https://mitra.stanford.edu/kundaje/oak/projects/neuro-variants/variant_position/credible/roussos_2024/variant_figures/roussos_2024.adolescence.Astrocyte/rs13098541_profile_position.png",4,220,900)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-0.1084084172</v>
      </c>
      <c r="G2849" t="n">
        <v>0.07066631225666239</v>
      </c>
      <c r="H2849" t="n">
        <v>0.0176743356628285</v>
      </c>
      <c r="I2849" t="n">
        <v>0.2018274183916528</v>
      </c>
      <c r="J2849" t="n">
        <v>0.1533713615998575</v>
      </c>
      <c r="K2849" t="n">
        <v>0.2515495392642627</v>
      </c>
      <c r="L2849" t="b">
        <v>0</v>
      </c>
      <c r="M2849" t="b">
        <v>0</v>
      </c>
      <c r="N2849" t="inlineStr">
        <is>
          <t>ref</t>
        </is>
      </c>
      <c r="O2849" t="n">
        <v>-55</v>
      </c>
      <c r="P2849" t="n">
        <v>0.007538</v>
      </c>
      <c r="Q2849" t="n">
        <v>45</v>
      </c>
      <c r="R2849" t="n">
        <v>0.056</v>
      </c>
      <c r="S2849">
        <f>IMAGE("https://mitra.stanford.edu/kundaje/oak/projects/neuro-variants/variant_position/credible/roussos_2024/variant_figures/roussos_2024.adolescence.Astrocyte/rs35709455_count_position.png",4,220,900)</f>
        <v/>
      </c>
      <c r="T2849">
        <f>IMAGE("https://mitra.stanford.edu/kundaje/oak/projects/neuro-variants/variant_position/credible/roussos_2024/variant_figures/roussos_2024.adolescence.Astrocyte/rs35709455_profile_position.png",4,220,900)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-0.0396493421</v>
      </c>
      <c r="G2850" t="n">
        <v>0.3491037313406104</v>
      </c>
      <c r="H2850" t="n">
        <v>0.0216234542367741</v>
      </c>
      <c r="I2850" t="n">
        <v>0.1120299288890365</v>
      </c>
      <c r="J2850" t="n">
        <v>0.0399014924487433</v>
      </c>
      <c r="K2850" t="n">
        <v>0.4774386720405995</v>
      </c>
      <c r="L2850" t="b">
        <v>0</v>
      </c>
      <c r="M2850" t="b">
        <v>0</v>
      </c>
      <c r="N2850" t="inlineStr">
        <is>
          <t>ref</t>
        </is>
      </c>
      <c r="O2850" t="n">
        <v>-80</v>
      </c>
      <c r="P2850" t="n">
        <v>0.008670000000000001</v>
      </c>
      <c r="Q2850" t="n">
        <v>-10</v>
      </c>
      <c r="R2850" t="n">
        <v>0.05908</v>
      </c>
      <c r="S2850">
        <f>IMAGE("https://mitra.stanford.edu/kundaje/oak/projects/neuro-variants/variant_position/credible/roussos_2024/variant_figures/roussos_2024.adolescence.Astrocyte/rs7635754_count_position.png",4,220,900)</f>
        <v/>
      </c>
      <c r="T2850">
        <f>IMAGE("https://mitra.stanford.edu/kundaje/oak/projects/neuro-variants/variant_position/credible/roussos_2024/variant_figures/roussos_2024.adolescence.Astrocyte/rs7635754_profile_position.png",4,220,900)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-0.0011775016</v>
      </c>
      <c r="G2851" t="n">
        <v>0.2645775123752101</v>
      </c>
      <c r="H2851" t="n">
        <v>0.0249393703730295</v>
      </c>
      <c r="I2851" t="n">
        <v>0.0647057958620401</v>
      </c>
      <c r="J2851" t="n">
        <v>0.0444567249206301</v>
      </c>
      <c r="K2851" t="n">
        <v>0.4573959302207662</v>
      </c>
      <c r="L2851" t="b">
        <v>0</v>
      </c>
      <c r="M2851" t="b">
        <v>0</v>
      </c>
      <c r="N2851" t="inlineStr">
        <is>
          <t>ref</t>
        </is>
      </c>
      <c r="O2851" t="n">
        <v>-55</v>
      </c>
      <c r="P2851" t="n">
        <v>0.00421</v>
      </c>
      <c r="Q2851" t="n">
        <v>10</v>
      </c>
      <c r="R2851" t="n">
        <v>0.05176</v>
      </c>
      <c r="S2851">
        <f>IMAGE("https://mitra.stanford.edu/kundaje/oak/projects/neuro-variants/variant_position/credible/roussos_2024/variant_figures/roussos_2024.adolescence.Astrocyte/rs4854998_count_position.png",4,220,900)</f>
        <v/>
      </c>
      <c r="T2851">
        <f>IMAGE("https://mitra.stanford.edu/kundaje/oak/projects/neuro-variants/variant_position/credible/roussos_2024/variant_figures/roussos_2024.adolescence.Astrocyte/rs4854998_profile_position.png",4,220,900)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0.02250638704</v>
      </c>
      <c r="G2852" t="n">
        <v>0.5259890993042169</v>
      </c>
      <c r="H2852" t="n">
        <v>0.0126759877119086</v>
      </c>
      <c r="I2852" t="n">
        <v>0.4844443988417005</v>
      </c>
      <c r="J2852" t="n">
        <v>0.0319088805150876</v>
      </c>
      <c r="K2852" t="n">
        <v>0.5041508409178879</v>
      </c>
      <c r="L2852" t="b">
        <v>0</v>
      </c>
      <c r="M2852" t="b">
        <v>0</v>
      </c>
      <c r="N2852" t="inlineStr">
        <is>
          <t>alt</t>
        </is>
      </c>
      <c r="O2852" t="n">
        <v>60</v>
      </c>
      <c r="P2852" t="n">
        <v>0.01279</v>
      </c>
      <c r="Q2852" t="n">
        <v>-100</v>
      </c>
      <c r="R2852" t="n">
        <v>0.1287</v>
      </c>
      <c r="S2852">
        <f>IMAGE("https://mitra.stanford.edu/kundaje/oak/projects/neuro-variants/variant_position/credible/roussos_2024/variant_figures/roussos_2024.adolescence.Astrocyte/rs10490806_count_position.png",4,220,900)</f>
        <v/>
      </c>
      <c r="T2852">
        <f>IMAGE("https://mitra.stanford.edu/kundaje/oak/projects/neuro-variants/variant_position/credible/roussos_2024/variant_figures/roussos_2024.adolescence.Astrocyte/rs10490806_profile_position.png",4,220,900)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-0.0017172369</v>
      </c>
      <c r="G2853" t="n">
        <v>0.90074439629345</v>
      </c>
      <c r="H2853" t="n">
        <v>0.0391502854488118</v>
      </c>
      <c r="I2853" t="n">
        <v>0.0105727458454196</v>
      </c>
      <c r="J2853" t="n">
        <v>0.0064675251461293</v>
      </c>
      <c r="K2853" t="n">
        <v>0.7196900514912218</v>
      </c>
      <c r="L2853" t="b">
        <v>0</v>
      </c>
      <c r="M2853" t="b">
        <v>0</v>
      </c>
      <c r="N2853" t="inlineStr">
        <is>
          <t>ref</t>
        </is>
      </c>
      <c r="O2853" t="n">
        <v>-100</v>
      </c>
      <c r="P2853" t="n">
        <v>0.01746</v>
      </c>
      <c r="Q2853" t="n">
        <v>-100</v>
      </c>
      <c r="R2853" t="n">
        <v>0.1172</v>
      </c>
      <c r="S2853">
        <f>IMAGE("https://mitra.stanford.edu/kundaje/oak/projects/neuro-variants/variant_position/credible/roussos_2024/variant_figures/roussos_2024.adolescence.Astrocyte/rs13083851_count_position.png",4,220,900)</f>
        <v/>
      </c>
      <c r="T2853">
        <f>IMAGE("https://mitra.stanford.edu/kundaje/oak/projects/neuro-variants/variant_position/credible/roussos_2024/variant_figures/roussos_2024.adolescence.Astrocyte/rs13083851_profile_position.png",4,220,900)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0.0228827219199999</v>
      </c>
      <c r="G2854" t="n">
        <v>0.4860014493407478</v>
      </c>
      <c r="H2854" t="n">
        <v>0.0123837379105618</v>
      </c>
      <c r="I2854" t="n">
        <v>0.5234027397586568</v>
      </c>
      <c r="J2854" t="n">
        <v>0.0007121027801678999</v>
      </c>
      <c r="K2854" t="n">
        <v>0.8945472825970928</v>
      </c>
      <c r="L2854" t="b">
        <v>0</v>
      </c>
      <c r="M2854" t="b">
        <v>0</v>
      </c>
      <c r="N2854" t="inlineStr">
        <is>
          <t>alt</t>
        </is>
      </c>
      <c r="O2854" t="n">
        <v>-20</v>
      </c>
      <c r="P2854" t="n">
        <v>0.00177</v>
      </c>
      <c r="Q2854" t="n">
        <v>-5</v>
      </c>
      <c r="R2854" t="n">
        <v>0.0206</v>
      </c>
      <c r="S2854">
        <f>IMAGE("https://mitra.stanford.edu/kundaje/oak/projects/neuro-variants/variant_position/credible/roussos_2024/variant_figures/roussos_2024.adolescence.Astrocyte/rs12186104_count_position.png",4,220,900)</f>
        <v/>
      </c>
      <c r="T2854">
        <f>IMAGE("https://mitra.stanford.edu/kundaje/oak/projects/neuro-variants/variant_position/credible/roussos_2024/variant_figures/roussos_2024.adolescence.Astrocyte/rs12186104_profile_position.png",4,220,900)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-0.0518331026</v>
      </c>
      <c r="G2855" t="n">
        <v>0.2408215232729166</v>
      </c>
      <c r="H2855" t="n">
        <v>0.0215555589337142</v>
      </c>
      <c r="I2855" t="n">
        <v>0.1114330481952719</v>
      </c>
      <c r="J2855" t="n">
        <v>0.09691793015458559</v>
      </c>
      <c r="K2855" t="n">
        <v>0.3387582802648366</v>
      </c>
      <c r="L2855" t="b">
        <v>0</v>
      </c>
      <c r="M2855" t="b">
        <v>0</v>
      </c>
      <c r="N2855" t="inlineStr">
        <is>
          <t>ref</t>
        </is>
      </c>
      <c r="O2855" t="n">
        <v>-100</v>
      </c>
      <c r="P2855" t="n">
        <v>0.0002747</v>
      </c>
      <c r="Q2855" t="n">
        <v>-85</v>
      </c>
      <c r="R2855" t="n">
        <v>0.03918</v>
      </c>
      <c r="S2855">
        <f>IMAGE("https://mitra.stanford.edu/kundaje/oak/projects/neuro-variants/variant_position/credible/roussos_2024/variant_figures/roussos_2024.adolescence.Astrocyte/rs6777005_count_position.png",4,220,900)</f>
        <v/>
      </c>
      <c r="T2855">
        <f>IMAGE("https://mitra.stanford.edu/kundaje/oak/projects/neuro-variants/variant_position/credible/roussos_2024/variant_figures/roussos_2024.adolescence.Astrocyte/rs6777005_profile_position.png",4,220,900)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0.01383443258</v>
      </c>
      <c r="G2856" t="n">
        <v>0.631540224880009</v>
      </c>
      <c r="H2856" t="n">
        <v>0.0137976888369052</v>
      </c>
      <c r="I2856" t="n">
        <v>0.4036927044306807</v>
      </c>
      <c r="J2856" t="n">
        <v>0.0070928403999643</v>
      </c>
      <c r="K2856" t="n">
        <v>0.7268948562428064</v>
      </c>
      <c r="L2856" t="b">
        <v>0</v>
      </c>
      <c r="M2856" t="b">
        <v>0</v>
      </c>
      <c r="N2856" t="inlineStr">
        <is>
          <t>alt</t>
        </is>
      </c>
      <c r="O2856" t="n">
        <v>-100</v>
      </c>
      <c r="P2856" t="n">
        <v>0.00534</v>
      </c>
      <c r="Q2856" t="n">
        <v>-45</v>
      </c>
      <c r="R2856" t="n">
        <v>0.02066</v>
      </c>
      <c r="S2856">
        <f>IMAGE("https://mitra.stanford.edu/kundaje/oak/projects/neuro-variants/variant_position/credible/roussos_2024/variant_figures/roussos_2024.adolescence.Astrocyte/rs62291437_count_position.png",4,220,900)</f>
        <v/>
      </c>
      <c r="T2856">
        <f>IMAGE("https://mitra.stanford.edu/kundaje/oak/projects/neuro-variants/variant_position/credible/roussos_2024/variant_figures/roussos_2024.adolescence.Astrocyte/rs62291437_profile_position.png",4,220,900)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0.0703071552</v>
      </c>
      <c r="G2857" t="n">
        <v>0.1461064594923011</v>
      </c>
      <c r="H2857" t="n">
        <v>0.0135040907960494</v>
      </c>
      <c r="I2857" t="n">
        <v>0.4211319490219936</v>
      </c>
      <c r="J2857" t="n">
        <v>0.0076818087410615</v>
      </c>
      <c r="K2857" t="n">
        <v>0.6905546448754356</v>
      </c>
      <c r="L2857" t="b">
        <v>0</v>
      </c>
      <c r="M2857" t="b">
        <v>0</v>
      </c>
      <c r="N2857" t="inlineStr">
        <is>
          <t>alt</t>
        </is>
      </c>
      <c r="O2857" t="n">
        <v>100</v>
      </c>
      <c r="P2857" t="n">
        <v>0.00317</v>
      </c>
      <c r="Q2857" t="n">
        <v>0</v>
      </c>
      <c r="R2857" t="n">
        <v>0</v>
      </c>
      <c r="S2857">
        <f>IMAGE("https://mitra.stanford.edu/kundaje/oak/projects/neuro-variants/variant_position/credible/roussos_2024/variant_figures/roussos_2024.adolescence.Astrocyte/rs11705702_count_position.png",4,220,900)</f>
        <v/>
      </c>
      <c r="T2857">
        <f>IMAGE("https://mitra.stanford.edu/kundaje/oak/projects/neuro-variants/variant_position/credible/roussos_2024/variant_figures/roussos_2024.adolescence.Astrocyte/rs11705702_profile_position.png",4,220,900)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-0.0157864964</v>
      </c>
      <c r="G2858" t="n">
        <v>0.6266217657526091</v>
      </c>
      <c r="H2858" t="n">
        <v>0.0303086521019039</v>
      </c>
      <c r="I2858" t="n">
        <v>0.0299404683535852</v>
      </c>
      <c r="J2858" t="n">
        <v>0.0019108091267839</v>
      </c>
      <c r="K2858" t="n">
        <v>0.8273654349972861</v>
      </c>
      <c r="L2858" t="b">
        <v>0</v>
      </c>
      <c r="M2858" t="b">
        <v>0</v>
      </c>
      <c r="N2858" t="inlineStr">
        <is>
          <t>ref</t>
        </is>
      </c>
      <c r="O2858" t="n">
        <v>-85</v>
      </c>
      <c r="P2858" t="n">
        <v>0.004517</v>
      </c>
      <c r="Q2858" t="n">
        <v>-70</v>
      </c>
      <c r="R2858" t="n">
        <v>0.125</v>
      </c>
      <c r="S2858">
        <f>IMAGE("https://mitra.stanford.edu/kundaje/oak/projects/neuro-variants/variant_position/credible/roussos_2024/variant_figures/roussos_2024.adolescence.Astrocyte/rs71312200_count_position.png",4,220,900)</f>
        <v/>
      </c>
      <c r="T2858">
        <f>IMAGE("https://mitra.stanford.edu/kundaje/oak/projects/neuro-variants/variant_position/credible/roussos_2024/variant_figures/roussos_2024.adolescence.Astrocyte/rs71312200_profile_position.png",4,220,900)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-0.0169640301</v>
      </c>
      <c r="G2859" t="n">
        <v>0.5286653892604619</v>
      </c>
      <c r="H2859" t="n">
        <v>0.0308764891949686</v>
      </c>
      <c r="I2859" t="n">
        <v>0.0295873527203528</v>
      </c>
      <c r="J2859" t="n">
        <v>0.1016081654452125</v>
      </c>
      <c r="K2859" t="n">
        <v>0.3195185448177277</v>
      </c>
      <c r="L2859" t="b">
        <v>0</v>
      </c>
      <c r="M2859" t="b">
        <v>0</v>
      </c>
      <c r="N2859" t="inlineStr">
        <is>
          <t>ref</t>
        </is>
      </c>
      <c r="O2859" t="n">
        <v>-50</v>
      </c>
      <c r="P2859" t="n">
        <v>0.0105</v>
      </c>
      <c r="Q2859" t="n">
        <v>-45</v>
      </c>
      <c r="R2859" t="n">
        <v>0.1643</v>
      </c>
      <c r="S2859">
        <f>IMAGE("https://mitra.stanford.edu/kundaje/oak/projects/neuro-variants/variant_position/credible/roussos_2024/variant_figures/roussos_2024.adolescence.Astrocyte/rs34293605_count_position.png",4,220,900)</f>
        <v/>
      </c>
      <c r="T2859">
        <f>IMAGE("https://mitra.stanford.edu/kundaje/oak/projects/neuro-variants/variant_position/credible/roussos_2024/variant_figures/roussos_2024.adolescence.Astrocyte/rs34293605_profile_position.png",4,220,900)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-0.201633598</v>
      </c>
      <c r="G2860" t="n">
        <v>0.0177921291057209</v>
      </c>
      <c r="H2860" t="n">
        <v>0.0281816215573563</v>
      </c>
      <c r="I2860" t="n">
        <v>0.0403218060005811</v>
      </c>
      <c r="J2860" t="n">
        <v>0.0357342076373022</v>
      </c>
      <c r="K2860" t="n">
        <v>0.4877723804317733</v>
      </c>
      <c r="L2860" t="b">
        <v>1</v>
      </c>
      <c r="M2860" t="b">
        <v>0</v>
      </c>
      <c r="N2860" t="inlineStr">
        <is>
          <t>ref</t>
        </is>
      </c>
      <c r="O2860" t="n">
        <v>-25</v>
      </c>
      <c r="P2860" t="n">
        <v>0.02753</v>
      </c>
      <c r="Q2860" t="n">
        <v>35</v>
      </c>
      <c r="R2860" t="n">
        <v>0.083</v>
      </c>
      <c r="S2860">
        <f>IMAGE("https://mitra.stanford.edu/kundaje/oak/projects/neuro-variants/variant_position/credible/roussos_2024/variant_figures/roussos_2024.adolescence.Astrocyte/rs62289571_count_position.png",4,220,900)</f>
        <v/>
      </c>
      <c r="T2860">
        <f>IMAGE("https://mitra.stanford.edu/kundaje/oak/projects/neuro-variants/variant_position/credible/roussos_2024/variant_figures/roussos_2024.adolescence.Astrocyte/rs62289571_profile_position.png",4,220,900)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-0.08167572379999991</v>
      </c>
      <c r="G2861" t="n">
        <v>0.1343222048504616</v>
      </c>
      <c r="H2861" t="n">
        <v>0.0330469981448407</v>
      </c>
      <c r="I2861" t="n">
        <v>0.0300659407845975</v>
      </c>
      <c r="J2861" t="n">
        <v>0.0233072723496424</v>
      </c>
      <c r="K2861" t="n">
        <v>0.5537753125199839</v>
      </c>
      <c r="L2861" t="b">
        <v>0</v>
      </c>
      <c r="M2861" t="b">
        <v>0</v>
      </c>
      <c r="N2861" t="inlineStr">
        <is>
          <t>ref</t>
        </is>
      </c>
      <c r="O2861" t="n">
        <v>35</v>
      </c>
      <c r="P2861" t="n">
        <v>0.03717</v>
      </c>
      <c r="Q2861" t="n">
        <v>50</v>
      </c>
      <c r="R2861" t="n">
        <v>0.1604</v>
      </c>
      <c r="S2861">
        <f>IMAGE("https://mitra.stanford.edu/kundaje/oak/projects/neuro-variants/variant_position/credible/roussos_2024/variant_figures/roussos_2024.adolescence.Astrocyte/rs13060352_count_position.png",4,220,900)</f>
        <v/>
      </c>
      <c r="T2861">
        <f>IMAGE("https://mitra.stanford.edu/kundaje/oak/projects/neuro-variants/variant_position/credible/roussos_2024/variant_figures/roussos_2024.adolescence.Astrocyte/rs13060352_profile_position.png",4,220,900)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-0.01843306614</v>
      </c>
      <c r="G2862" t="n">
        <v>0.5242647360753028</v>
      </c>
      <c r="H2862" t="n">
        <v>0.0184325292843905</v>
      </c>
      <c r="I2862" t="n">
        <v>0.1787167530490067</v>
      </c>
      <c r="J2862" t="n">
        <v>0.1798430406788712</v>
      </c>
      <c r="K2862" t="n">
        <v>0.2244286213549643</v>
      </c>
      <c r="L2862" t="b">
        <v>0</v>
      </c>
      <c r="M2862" t="b">
        <v>0</v>
      </c>
      <c r="N2862" t="inlineStr">
        <is>
          <t>ref</t>
        </is>
      </c>
      <c r="O2862" t="n">
        <v>100</v>
      </c>
      <c r="P2862" t="n">
        <v>0.0362</v>
      </c>
      <c r="Q2862" t="n">
        <v>-50</v>
      </c>
      <c r="R2862" t="n">
        <v>0.1191</v>
      </c>
      <c r="S2862">
        <f>IMAGE("https://mitra.stanford.edu/kundaje/oak/projects/neuro-variants/variant_position/credible/roussos_2024/variant_figures/roussos_2024.adolescence.Astrocyte/rs1001416_count_position.png",4,220,900)</f>
        <v/>
      </c>
      <c r="T2862">
        <f>IMAGE("https://mitra.stanford.edu/kundaje/oak/projects/neuro-variants/variant_position/credible/roussos_2024/variant_figures/roussos_2024.adolescence.Astrocyte/rs1001416_profile_position.png",4,220,900)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-0.1108575032</v>
      </c>
      <c r="G2863" t="n">
        <v>0.06610955651255131</v>
      </c>
      <c r="H2863" t="n">
        <v>0.0168180582247035</v>
      </c>
      <c r="I2863" t="n">
        <v>0.2366416220646039</v>
      </c>
      <c r="J2863" t="n">
        <v>0.0603425511082099</v>
      </c>
      <c r="K2863" t="n">
        <v>0.4110685625033705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0.0172</v>
      </c>
      <c r="Q2863" t="n">
        <v>-65</v>
      </c>
      <c r="R2863" t="n">
        <v>0.04688</v>
      </c>
      <c r="S2863">
        <f>IMAGE("https://mitra.stanford.edu/kundaje/oak/projects/neuro-variants/variant_position/credible/roussos_2024/variant_figures/roussos_2024.adolescence.Astrocyte/rs6775889_count_position.png",4,220,900)</f>
        <v/>
      </c>
      <c r="T2863">
        <f>IMAGE("https://mitra.stanford.edu/kundaje/oak/projects/neuro-variants/variant_position/credible/roussos_2024/variant_figures/roussos_2024.adolescence.Astrocyte/rs6775889_profile_position.png",4,220,900)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0.0185036931999999</v>
      </c>
      <c r="G2864" t="n">
        <v>0.4769634858152317</v>
      </c>
      <c r="H2864" t="n">
        <v>0.0175756719952083</v>
      </c>
      <c r="I2864" t="n">
        <v>0.2058715498166245</v>
      </c>
      <c r="J2864" t="n">
        <v>0.0045263032964424</v>
      </c>
      <c r="K2864" t="n">
        <v>0.7582639026115007</v>
      </c>
      <c r="L2864" t="b">
        <v>0</v>
      </c>
      <c r="M2864" t="b">
        <v>0</v>
      </c>
      <c r="N2864" t="inlineStr">
        <is>
          <t>alt</t>
        </is>
      </c>
      <c r="O2864" t="n">
        <v>15</v>
      </c>
      <c r="P2864" t="n">
        <v>0.0002747</v>
      </c>
      <c r="Q2864" t="n">
        <v>45</v>
      </c>
      <c r="R2864" t="n">
        <v>0.05835</v>
      </c>
      <c r="S2864">
        <f>IMAGE("https://mitra.stanford.edu/kundaje/oak/projects/neuro-variants/variant_position/credible/roussos_2024/variant_figures/roussos_2024.adolescence.Astrocyte/rs12635178_count_position.png",4,220,900)</f>
        <v/>
      </c>
      <c r="T2864">
        <f>IMAGE("https://mitra.stanford.edu/kundaje/oak/projects/neuro-variants/variant_position/credible/roussos_2024/variant_figures/roussos_2024.adolescence.Astrocyte/rs12635178_profile_position.png",4,220,900)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0.00352372154</v>
      </c>
      <c r="G2865" t="n">
        <v>0.8172305824933883</v>
      </c>
      <c r="H2865" t="n">
        <v>0.0360766145182494</v>
      </c>
      <c r="I2865" t="n">
        <v>0.0149400369729472</v>
      </c>
      <c r="J2865" t="n">
        <v>0.002036910660772</v>
      </c>
      <c r="K2865" t="n">
        <v>0.8539578447341181</v>
      </c>
      <c r="L2865" t="b">
        <v>0</v>
      </c>
      <c r="M2865" t="b">
        <v>0</v>
      </c>
      <c r="N2865" t="inlineStr">
        <is>
          <t>alt</t>
        </is>
      </c>
      <c r="O2865" t="n">
        <v>-95</v>
      </c>
      <c r="P2865" t="n">
        <v>0.003967</v>
      </c>
      <c r="Q2865" t="n">
        <v>100</v>
      </c>
      <c r="R2865" t="n">
        <v>0.0916</v>
      </c>
      <c r="S2865">
        <f>IMAGE("https://mitra.stanford.edu/kundaje/oak/projects/neuro-variants/variant_position/credible/roussos_2024/variant_figures/roussos_2024.adolescence.Astrocyte/rs1968217_count_position.png",4,220,900)</f>
        <v/>
      </c>
      <c r="T2865">
        <f>IMAGE("https://mitra.stanford.edu/kundaje/oak/projects/neuro-variants/variant_position/credible/roussos_2024/variant_figures/roussos_2024.adolescence.Astrocyte/rs1968217_profile_position.png",4,220,900)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-0.003712298</v>
      </c>
      <c r="G2866" t="n">
        <v>0.5338320801013716</v>
      </c>
      <c r="H2866" t="n">
        <v>0.0152225685115706</v>
      </c>
      <c r="I2866" t="n">
        <v>0.3095570370982091</v>
      </c>
      <c r="J2866" t="n">
        <v>0.1586832032756727</v>
      </c>
      <c r="K2866" t="n">
        <v>0.2449076783434428</v>
      </c>
      <c r="L2866" t="b">
        <v>0</v>
      </c>
      <c r="M2866" t="b">
        <v>0</v>
      </c>
      <c r="N2866" t="inlineStr">
        <is>
          <t>ref</t>
        </is>
      </c>
      <c r="O2866" t="n">
        <v>-40</v>
      </c>
      <c r="P2866" t="n">
        <v>0.003204</v>
      </c>
      <c r="Q2866" t="n">
        <v>-40</v>
      </c>
      <c r="R2866" t="n">
        <v>0.0708</v>
      </c>
      <c r="S2866">
        <f>IMAGE("https://mitra.stanford.edu/kundaje/oak/projects/neuro-variants/variant_position/credible/roussos_2024/variant_figures/roussos_2024.adolescence.Astrocyte/rs2543163_count_position.png",4,220,900)</f>
        <v/>
      </c>
      <c r="T2866">
        <f>IMAGE("https://mitra.stanford.edu/kundaje/oak/projects/neuro-variants/variant_position/credible/roussos_2024/variant_figures/roussos_2024.adolescence.Astrocyte/rs2543163_profile_position.png",4,220,900)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-0.0206541465799999</v>
      </c>
      <c r="G2867" t="n">
        <v>0.5085153841663185</v>
      </c>
      <c r="H2867" t="n">
        <v>0.012266669359345</v>
      </c>
      <c r="I2867" t="n">
        <v>0.5260310833345423</v>
      </c>
      <c r="J2867" t="n">
        <v>7.491914666348887e-05</v>
      </c>
      <c r="K2867" t="n">
        <v>0.9861908827665954</v>
      </c>
      <c r="L2867" t="b">
        <v>0</v>
      </c>
      <c r="M2867" t="b">
        <v>0</v>
      </c>
      <c r="N2867" t="inlineStr">
        <is>
          <t>ref</t>
        </is>
      </c>
      <c r="O2867" t="n">
        <v>85</v>
      </c>
      <c r="P2867" t="n">
        <v>0.004684</v>
      </c>
      <c r="Q2867" t="n">
        <v>-100</v>
      </c>
      <c r="R2867" t="n">
        <v>0.1403</v>
      </c>
      <c r="S2867">
        <f>IMAGE("https://mitra.stanford.edu/kundaje/oak/projects/neuro-variants/variant_position/credible/roussos_2024/variant_figures/roussos_2024.adolescence.Astrocyte/rs34718862_count_position.png",4,220,900)</f>
        <v/>
      </c>
      <c r="T2867">
        <f>IMAGE("https://mitra.stanford.edu/kundaje/oak/projects/neuro-variants/variant_position/credible/roussos_2024/variant_figures/roussos_2024.adolescence.Astrocyte/rs34718862_profile_position.png",4,220,900)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-0.0149458344</v>
      </c>
      <c r="G2868" t="n">
        <v>0.6544096232502888</v>
      </c>
      <c r="H2868" t="n">
        <v>0.0241285039416564</v>
      </c>
      <c r="I2868" t="n">
        <v>0.0714276695052086</v>
      </c>
      <c r="J2868" t="n">
        <v>0.0002885499807138</v>
      </c>
      <c r="K2868" t="n">
        <v>0.9403250000626828</v>
      </c>
      <c r="L2868" t="b">
        <v>0</v>
      </c>
      <c r="M2868" t="b">
        <v>0</v>
      </c>
      <c r="N2868" t="inlineStr">
        <is>
          <t>ref</t>
        </is>
      </c>
      <c r="O2868" t="n">
        <v>-45</v>
      </c>
      <c r="P2868" t="n">
        <v>0.006775</v>
      </c>
      <c r="Q2868" t="n">
        <v>-70</v>
      </c>
      <c r="R2868" t="n">
        <v>0.164</v>
      </c>
      <c r="S2868">
        <f>IMAGE("https://mitra.stanford.edu/kundaje/oak/projects/neuro-variants/variant_position/credible/roussos_2024/variant_figures/roussos_2024.adolescence.Astrocyte/rs4456860_count_position.png",4,220,900)</f>
        <v/>
      </c>
      <c r="T2868">
        <f>IMAGE("https://mitra.stanford.edu/kundaje/oak/projects/neuro-variants/variant_position/credible/roussos_2024/variant_figures/roussos_2024.adolescence.Astrocyte/rs4456860_profile_position.png",4,220,900)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0.1068479346</v>
      </c>
      <c r="G2869" t="n">
        <v>0.07254712587362359</v>
      </c>
      <c r="H2869" t="n">
        <v>0.0168093630749858</v>
      </c>
      <c r="I2869" t="n">
        <v>0.2394890185550361</v>
      </c>
      <c r="J2869" t="n">
        <v>0.009108239622585401</v>
      </c>
      <c r="K2869" t="n">
        <v>0.7031464919662992</v>
      </c>
      <c r="L2869" t="b">
        <v>0</v>
      </c>
      <c r="M2869" t="b">
        <v>0</v>
      </c>
      <c r="N2869" t="inlineStr">
        <is>
          <t>alt</t>
        </is>
      </c>
      <c r="O2869" t="n">
        <v>-60</v>
      </c>
      <c r="P2869" t="n">
        <v>0.002895</v>
      </c>
      <c r="Q2869" t="n">
        <v>-80</v>
      </c>
      <c r="R2869" t="n">
        <v>0.1257</v>
      </c>
      <c r="S2869">
        <f>IMAGE("https://mitra.stanford.edu/kundaje/oak/projects/neuro-variants/variant_position/credible/roussos_2024/variant_figures/roussos_2024.adolescence.Astrocyte/rs13075474_count_position.png",4,220,900)</f>
        <v/>
      </c>
      <c r="T2869">
        <f>IMAGE("https://mitra.stanford.edu/kundaje/oak/projects/neuro-variants/variant_position/credible/roussos_2024/variant_figures/roussos_2024.adolescence.Astrocyte/rs13075474_profile_position.png",4,220,900)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-0.0377572234</v>
      </c>
      <c r="G2870" t="n">
        <v>0.3341416994957925</v>
      </c>
      <c r="H2870" t="n">
        <v>0.0131585631439002</v>
      </c>
      <c r="I2870" t="n">
        <v>0.4534388327535979</v>
      </c>
      <c r="J2870" t="n">
        <v>0.0033350146871198</v>
      </c>
      <c r="K2870" t="n">
        <v>0.7809745944176756</v>
      </c>
      <c r="L2870" t="b">
        <v>0</v>
      </c>
      <c r="M2870" t="b">
        <v>0</v>
      </c>
      <c r="N2870" t="inlineStr">
        <is>
          <t>ref</t>
        </is>
      </c>
      <c r="O2870" t="n">
        <v>10</v>
      </c>
      <c r="P2870" t="n">
        <v>0.003225</v>
      </c>
      <c r="Q2870" t="n">
        <v>75</v>
      </c>
      <c r="R2870" t="n">
        <v>0.0544</v>
      </c>
      <c r="S2870">
        <f>IMAGE("https://mitra.stanford.edu/kundaje/oak/projects/neuro-variants/variant_position/credible/roussos_2024/variant_figures/roussos_2024.adolescence.Astrocyte/rs13077643_count_position.png",4,220,900)</f>
        <v/>
      </c>
      <c r="T2870">
        <f>IMAGE("https://mitra.stanford.edu/kundaje/oak/projects/neuro-variants/variant_position/credible/roussos_2024/variant_figures/roussos_2024.adolescence.Astrocyte/rs13077643_profile_position.png",4,220,900)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-0.03087105178</v>
      </c>
      <c r="G2871" t="n">
        <v>0.423157840927944</v>
      </c>
      <c r="H2871" t="n">
        <v>0.0270798082913721</v>
      </c>
      <c r="I2871" t="n">
        <v>0.0467021729949876</v>
      </c>
      <c r="J2871" t="n">
        <v>0.0165734504346793</v>
      </c>
      <c r="K2871" t="n">
        <v>0.6049403306475308</v>
      </c>
      <c r="L2871" t="b">
        <v>0</v>
      </c>
      <c r="M2871" t="b">
        <v>0</v>
      </c>
      <c r="N2871" t="inlineStr">
        <is>
          <t>ref</t>
        </is>
      </c>
      <c r="O2871" t="n">
        <v>95</v>
      </c>
      <c r="P2871" t="n">
        <v>0.00809</v>
      </c>
      <c r="Q2871" t="n">
        <v>95</v>
      </c>
      <c r="R2871" t="n">
        <v>0.191</v>
      </c>
      <c r="S2871">
        <f>IMAGE("https://mitra.stanford.edu/kundaje/oak/projects/neuro-variants/variant_position/credible/roussos_2024/variant_figures/roussos_2024.adolescence.Astrocyte/rs13071279_count_position.png",4,220,900)</f>
        <v/>
      </c>
      <c r="T2871">
        <f>IMAGE("https://mitra.stanford.edu/kundaje/oak/projects/neuro-variants/variant_position/credible/roussos_2024/variant_figures/roussos_2024.adolescence.Astrocyte/rs13071279_profile_position.png",4,220,900)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0.0237560542399999</v>
      </c>
      <c r="G2872" t="n">
        <v>0.507712975339687</v>
      </c>
      <c r="H2872" t="n">
        <v>0.0251029626446869</v>
      </c>
      <c r="I2872" t="n">
        <v>0.0621935001266834</v>
      </c>
      <c r="J2872" t="n">
        <v>0.0315328012343114</v>
      </c>
      <c r="K2872" t="n">
        <v>0.504002221692357</v>
      </c>
      <c r="L2872" t="b">
        <v>0</v>
      </c>
      <c r="M2872" t="b">
        <v>0</v>
      </c>
      <c r="N2872" t="inlineStr">
        <is>
          <t>alt</t>
        </is>
      </c>
      <c r="O2872" t="n">
        <v>-75</v>
      </c>
      <c r="P2872" t="n">
        <v>0.006226</v>
      </c>
      <c r="Q2872" t="n">
        <v>5</v>
      </c>
      <c r="R2872" t="n">
        <v>0.01318</v>
      </c>
      <c r="S2872">
        <f>IMAGE("https://mitra.stanford.edu/kundaje/oak/projects/neuro-variants/variant_position/credible/roussos_2024/variant_figures/roussos_2024.adolescence.Astrocyte/rs13092432_count_position.png",4,220,900)</f>
        <v/>
      </c>
      <c r="T2872">
        <f>IMAGE("https://mitra.stanford.edu/kundaje/oak/projects/neuro-variants/variant_position/credible/roussos_2024/variant_figures/roussos_2024.adolescence.Astrocyte/rs13092432_profile_position.png",4,220,900)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0.204234282</v>
      </c>
      <c r="G2873" t="n">
        <v>0.020173239458043</v>
      </c>
      <c r="H2873" t="n">
        <v>0.0523884892592959</v>
      </c>
      <c r="I2873" t="n">
        <v>0.0035404361364005</v>
      </c>
      <c r="J2873" t="n">
        <v>0.0708393911521229</v>
      </c>
      <c r="K2873" t="n">
        <v>0.379134829965498</v>
      </c>
      <c r="L2873" t="b">
        <v>1</v>
      </c>
      <c r="M2873" t="b">
        <v>1</v>
      </c>
      <c r="N2873" t="inlineStr">
        <is>
          <t>alt</t>
        </is>
      </c>
      <c r="O2873" t="n">
        <v>60</v>
      </c>
      <c r="P2873" t="n">
        <v>0.00621</v>
      </c>
      <c r="Q2873" t="n">
        <v>100</v>
      </c>
      <c r="R2873" t="n">
        <v>0.1646</v>
      </c>
      <c r="S2873">
        <f>IMAGE("https://mitra.stanford.edu/kundaje/oak/projects/neuro-variants/variant_position/credible/roussos_2024/variant_figures/roussos_2024.adolescence.Astrocyte/rs12633623_count_position.png",4,220,900)</f>
        <v/>
      </c>
      <c r="T2873">
        <f>IMAGE("https://mitra.stanford.edu/kundaje/oak/projects/neuro-variants/variant_position/credible/roussos_2024/variant_figures/roussos_2024.adolescence.Astrocyte/rs12633623_profile_position.png",4,220,900)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-0.0025087853</v>
      </c>
      <c r="G2874" t="n">
        <v>0.8215739579904012</v>
      </c>
      <c r="H2874" t="n">
        <v>0.0416930550100275</v>
      </c>
      <c r="I2874" t="n">
        <v>0.008141601153398599</v>
      </c>
      <c r="J2874" t="n">
        <v>0.0005889683410971</v>
      </c>
      <c r="K2874" t="n">
        <v>0.9145924039257912</v>
      </c>
      <c r="L2874" t="b">
        <v>0</v>
      </c>
      <c r="M2874" t="b">
        <v>0</v>
      </c>
      <c r="N2874" t="inlineStr">
        <is>
          <t>ref</t>
        </is>
      </c>
      <c r="O2874" t="n">
        <v>55</v>
      </c>
      <c r="P2874" t="n">
        <v>0.005707</v>
      </c>
      <c r="Q2874" t="n">
        <v>-100</v>
      </c>
      <c r="R2874" t="n">
        <v>0.1307</v>
      </c>
      <c r="S2874">
        <f>IMAGE("https://mitra.stanford.edu/kundaje/oak/projects/neuro-variants/variant_position/credible/roussos_2024/variant_figures/roussos_2024.adolescence.Astrocyte/rs74284696_count_position.png",4,220,900)</f>
        <v/>
      </c>
      <c r="T2874">
        <f>IMAGE("https://mitra.stanford.edu/kundaje/oak/projects/neuro-variants/variant_position/credible/roussos_2024/variant_figures/roussos_2024.adolescence.Astrocyte/rs74284696_profile_position.png",4,220,900)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-0.0664770744</v>
      </c>
      <c r="G2875" t="n">
        <v>0.1668418814992756</v>
      </c>
      <c r="H2875" t="n">
        <v>0.0119693165041504</v>
      </c>
      <c r="I2875" t="n">
        <v>0.5637878195041439</v>
      </c>
      <c r="J2875" t="n">
        <v>0.0006023202682253</v>
      </c>
      <c r="K2875" t="n">
        <v>0.9065295291093136</v>
      </c>
      <c r="L2875" t="b">
        <v>0</v>
      </c>
      <c r="M2875" t="b">
        <v>0</v>
      </c>
      <c r="N2875" t="inlineStr">
        <is>
          <t>ref</t>
        </is>
      </c>
      <c r="O2875" t="n">
        <v>-95</v>
      </c>
      <c r="P2875" t="n">
        <v>0.0002594</v>
      </c>
      <c r="Q2875" t="n">
        <v>10</v>
      </c>
      <c r="R2875" t="n">
        <v>0.03976</v>
      </c>
      <c r="S2875">
        <f>IMAGE("https://mitra.stanford.edu/kundaje/oak/projects/neuro-variants/variant_position/credible/roussos_2024/variant_figures/roussos_2024.adolescence.Astrocyte/rs141717445_count_position.png",4,220,900)</f>
        <v/>
      </c>
      <c r="T2875">
        <f>IMAGE("https://mitra.stanford.edu/kundaje/oak/projects/neuro-variants/variant_position/credible/roussos_2024/variant_figures/roussos_2024.adolescence.Astrocyte/rs141717445_profile_position.png",4,220,900)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-0.0691742722</v>
      </c>
      <c r="G2876" t="n">
        <v>0.1549163654782714</v>
      </c>
      <c r="H2876" t="n">
        <v>0.015661842374892</v>
      </c>
      <c r="I2876" t="n">
        <v>0.2857276336885616</v>
      </c>
      <c r="J2876" t="n">
        <v>0.08505770999614271</v>
      </c>
      <c r="K2876" t="n">
        <v>0.347575043142471</v>
      </c>
      <c r="L2876" t="b">
        <v>0</v>
      </c>
      <c r="M2876" t="b">
        <v>0</v>
      </c>
      <c r="N2876" t="inlineStr">
        <is>
          <t>ref</t>
        </is>
      </c>
      <c r="O2876" t="n">
        <v>-100</v>
      </c>
      <c r="P2876" t="n">
        <v>0.00992</v>
      </c>
      <c r="Q2876" t="n">
        <v>-100</v>
      </c>
      <c r="R2876" t="n">
        <v>0.1415</v>
      </c>
      <c r="S2876">
        <f>IMAGE("https://mitra.stanford.edu/kundaje/oak/projects/neuro-variants/variant_position/credible/roussos_2024/variant_figures/roussos_2024.adolescence.Astrocyte/rs13081180_count_position.png",4,220,900)</f>
        <v/>
      </c>
      <c r="T2876">
        <f>IMAGE("https://mitra.stanford.edu/kundaje/oak/projects/neuro-variants/variant_position/credible/roussos_2024/variant_figures/roussos_2024.adolescence.Astrocyte/rs13081180_profile_position.png",4,220,900)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0.0438774394999999</v>
      </c>
      <c r="G2877" t="n">
        <v>0.245470052046397</v>
      </c>
      <c r="H2877" t="n">
        <v>0.0154647211576363</v>
      </c>
      <c r="I2877" t="n">
        <v>0.299384202597322</v>
      </c>
      <c r="J2877" t="n">
        <v>0.0014924487434352</v>
      </c>
      <c r="K2877" t="n">
        <v>0.8523784314858845</v>
      </c>
      <c r="L2877" t="b">
        <v>0</v>
      </c>
      <c r="M2877" t="b">
        <v>0</v>
      </c>
      <c r="N2877" t="inlineStr">
        <is>
          <t>alt</t>
        </is>
      </c>
      <c r="O2877" t="n">
        <v>95</v>
      </c>
      <c r="P2877" t="n">
        <v>0.007507</v>
      </c>
      <c r="Q2877" t="n">
        <v>-90</v>
      </c>
      <c r="R2877" t="n">
        <v>0.137</v>
      </c>
      <c r="S2877">
        <f>IMAGE("https://mitra.stanford.edu/kundaje/oak/projects/neuro-variants/variant_position/credible/roussos_2024/variant_figures/roussos_2024.adolescence.Astrocyte/rs10937056_count_position.png",4,220,900)</f>
        <v/>
      </c>
      <c r="T2877">
        <f>IMAGE("https://mitra.stanford.edu/kundaje/oak/projects/neuro-variants/variant_position/credible/roussos_2024/variant_figures/roussos_2024.adolescence.Astrocyte/rs10937056_profile_position.png",4,220,900)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-0.00529926822</v>
      </c>
      <c r="G2878" t="n">
        <v>0.6531082709651747</v>
      </c>
      <c r="H2878" t="n">
        <v>0.0156933427816014</v>
      </c>
      <c r="I2878" t="n">
        <v>0.286781268828225</v>
      </c>
      <c r="J2878" t="n">
        <v>0.003652493843278</v>
      </c>
      <c r="K2878" t="n">
        <v>0.782248044005271</v>
      </c>
      <c r="L2878" t="b">
        <v>0</v>
      </c>
      <c r="M2878" t="b">
        <v>0</v>
      </c>
      <c r="N2878" t="inlineStr">
        <is>
          <t>ref</t>
        </is>
      </c>
      <c r="O2878" t="n">
        <v>-95</v>
      </c>
      <c r="P2878" t="n">
        <v>0.00464</v>
      </c>
      <c r="Q2878" t="n">
        <v>75</v>
      </c>
      <c r="R2878" t="n">
        <v>0.1234</v>
      </c>
      <c r="S2878">
        <f>IMAGE("https://mitra.stanford.edu/kundaje/oak/projects/neuro-variants/variant_position/credible/roussos_2024/variant_figures/roussos_2024.adolescence.Astrocyte/rs9816542_count_position.png",4,220,900)</f>
        <v/>
      </c>
      <c r="T2878">
        <f>IMAGE("https://mitra.stanford.edu/kundaje/oak/projects/neuro-variants/variant_position/credible/roussos_2024/variant_figures/roussos_2024.adolescence.Astrocyte/rs9816542_profile_position.png",4,220,900)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0.0439376576</v>
      </c>
      <c r="G2879" t="n">
        <v>0.2863709859010169</v>
      </c>
      <c r="H2879" t="n">
        <v>0.028112553854</v>
      </c>
      <c r="I2879" t="n">
        <v>0.0402566440337654</v>
      </c>
      <c r="J2879" t="n">
        <v>0.0658316767053377</v>
      </c>
      <c r="K2879" t="n">
        <v>0.3891400795789347</v>
      </c>
      <c r="L2879" t="b">
        <v>0</v>
      </c>
      <c r="M2879" t="b">
        <v>0</v>
      </c>
      <c r="N2879" t="inlineStr">
        <is>
          <t>alt</t>
        </is>
      </c>
      <c r="O2879" t="n">
        <v>100</v>
      </c>
      <c r="P2879" t="n">
        <v>0.07630000000000001</v>
      </c>
      <c r="Q2879" t="n">
        <v>80</v>
      </c>
      <c r="R2879" t="n">
        <v>0.3127</v>
      </c>
      <c r="S2879">
        <f>IMAGE("https://mitra.stanford.edu/kundaje/oak/projects/neuro-variants/variant_position/credible/roussos_2024/variant_figures/roussos_2024.adolescence.Astrocyte/rs6779538_count_position.png",4,220,900)</f>
        <v/>
      </c>
      <c r="T2879">
        <f>IMAGE("https://mitra.stanford.edu/kundaje/oak/projects/neuro-variants/variant_position/credible/roussos_2024/variant_figures/roussos_2024.adolescence.Astrocyte/rs6779538_profile_position.png",4,220,900)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0.015425718</v>
      </c>
      <c r="G2880" t="n">
        <v>0.6142708592016567</v>
      </c>
      <c r="H2880" t="n">
        <v>0.0331028263214344</v>
      </c>
      <c r="I2880" t="n">
        <v>0.0210925364681502</v>
      </c>
      <c r="J2880" t="n">
        <v>0.0512454380915645</v>
      </c>
      <c r="K2880" t="n">
        <v>0.4460039646974608</v>
      </c>
      <c r="L2880" t="b">
        <v>0</v>
      </c>
      <c r="M2880" t="b">
        <v>0</v>
      </c>
      <c r="N2880" t="inlineStr">
        <is>
          <t>alt</t>
        </is>
      </c>
      <c r="O2880" t="n">
        <v>-30</v>
      </c>
      <c r="P2880" t="n">
        <v>0.0207</v>
      </c>
      <c r="Q2880" t="n">
        <v>-50</v>
      </c>
      <c r="R2880" t="n">
        <v>0.1026</v>
      </c>
      <c r="S2880">
        <f>IMAGE("https://mitra.stanford.edu/kundaje/oak/projects/neuro-variants/variant_position/credible/roussos_2024/variant_figures/roussos_2024.adolescence.Astrocyte/rs79339987_count_position.png",4,220,900)</f>
        <v/>
      </c>
      <c r="T2880">
        <f>IMAGE("https://mitra.stanford.edu/kundaje/oak/projects/neuro-variants/variant_position/credible/roussos_2024/variant_figures/roussos_2024.adolescence.Astrocyte/rs79339987_profile_position.png",4,220,900)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-0.0478893164</v>
      </c>
      <c r="G2881" t="n">
        <v>0.2503874794193881</v>
      </c>
      <c r="H2881" t="n">
        <v>0.0113970192452261</v>
      </c>
      <c r="I2881" t="n">
        <v>0.6160298159563132</v>
      </c>
      <c r="J2881" t="n">
        <v>0.3950746224371717</v>
      </c>
      <c r="K2881" t="n">
        <v>0.08836899031254369</v>
      </c>
      <c r="L2881" t="b">
        <v>0</v>
      </c>
      <c r="M2881" t="b">
        <v>0</v>
      </c>
      <c r="N2881" t="inlineStr">
        <is>
          <t>ref</t>
        </is>
      </c>
      <c r="O2881" t="n">
        <v>-100</v>
      </c>
      <c r="P2881" t="n">
        <v>0.0693</v>
      </c>
      <c r="Q2881" t="n">
        <v>-65</v>
      </c>
      <c r="R2881" t="n">
        <v>0.3037</v>
      </c>
      <c r="S2881">
        <f>IMAGE("https://mitra.stanford.edu/kundaje/oak/projects/neuro-variants/variant_position/credible/roussos_2024/variant_figures/roussos_2024.adolescence.Astrocyte/rs10937057_count_position.png",4,220,900)</f>
        <v/>
      </c>
      <c r="T2881">
        <f>IMAGE("https://mitra.stanford.edu/kundaje/oak/projects/neuro-variants/variant_position/credible/roussos_2024/variant_figures/roussos_2024.adolescence.Astrocyte/rs10937057_profile_position.png",4,220,900)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-0.01145865248</v>
      </c>
      <c r="G2882" t="n">
        <v>0.7126278481191783</v>
      </c>
      <c r="H2882" t="n">
        <v>0.0074373907365186</v>
      </c>
      <c r="I2882" t="n">
        <v>0.954717672713746</v>
      </c>
      <c r="J2882" t="n">
        <v>0.0430206509806248</v>
      </c>
      <c r="K2882" t="n">
        <v>0.4627639380706385</v>
      </c>
      <c r="L2882" t="b">
        <v>0</v>
      </c>
      <c r="M2882" t="b">
        <v>0</v>
      </c>
      <c r="N2882" t="inlineStr">
        <is>
          <t>ref</t>
        </is>
      </c>
      <c r="O2882" t="n">
        <v>90</v>
      </c>
      <c r="P2882" t="n">
        <v>0.0524</v>
      </c>
      <c r="Q2882" t="n">
        <v>100</v>
      </c>
      <c r="R2882" t="n">
        <v>0.1812</v>
      </c>
      <c r="S2882">
        <f>IMAGE("https://mitra.stanford.edu/kundaje/oak/projects/neuro-variants/variant_position/credible/roussos_2024/variant_figures/roussos_2024.adolescence.Astrocyte/rs4854918_count_position.png",4,220,900)</f>
        <v/>
      </c>
      <c r="T2882">
        <f>IMAGE("https://mitra.stanford.edu/kundaje/oak/projects/neuro-variants/variant_position/credible/roussos_2024/variant_figures/roussos_2024.adolescence.Astrocyte/rs4854918_profile_position.png",4,220,900)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0.024424658</v>
      </c>
      <c r="G2883" t="n">
        <v>0.4245683347862841</v>
      </c>
      <c r="H2883" t="n">
        <v>0.0104029682895868</v>
      </c>
      <c r="I2883" t="n">
        <v>0.7202113413361008</v>
      </c>
      <c r="J2883" t="n">
        <v>0.0986492300388688</v>
      </c>
      <c r="K2883" t="n">
        <v>0.3299098248580326</v>
      </c>
      <c r="L2883" t="b">
        <v>0</v>
      </c>
      <c r="M2883" t="b">
        <v>0</v>
      </c>
      <c r="N2883" t="inlineStr">
        <is>
          <t>alt</t>
        </is>
      </c>
      <c r="O2883" t="n">
        <v>-100</v>
      </c>
      <c r="P2883" t="n">
        <v>0.019</v>
      </c>
      <c r="Q2883" t="n">
        <v>-90</v>
      </c>
      <c r="R2883" t="n">
        <v>0.2329</v>
      </c>
      <c r="S2883">
        <f>IMAGE("https://mitra.stanford.edu/kundaje/oak/projects/neuro-variants/variant_position/credible/roussos_2024/variant_figures/roussos_2024.adolescence.Astrocyte/rs11717567_count_position.png",4,220,900)</f>
        <v/>
      </c>
      <c r="T2883">
        <f>IMAGE("https://mitra.stanford.edu/kundaje/oak/projects/neuro-variants/variant_position/credible/roussos_2024/variant_figures/roussos_2024.adolescence.Astrocyte/rs11717567_profile_position.png",4,220,900)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0.0015880860599999</v>
      </c>
      <c r="G2884" t="n">
        <v>0.6248912163035626</v>
      </c>
      <c r="H2884" t="n">
        <v>0.0334261384435252</v>
      </c>
      <c r="I2884" t="n">
        <v>0.0200551901353254</v>
      </c>
      <c r="J2884" t="n">
        <v>0.0001142331543185</v>
      </c>
      <c r="K2884" t="n">
        <v>0.979096531396758</v>
      </c>
      <c r="L2884" t="b">
        <v>0</v>
      </c>
      <c r="M2884" t="b">
        <v>0</v>
      </c>
      <c r="N2884" t="inlineStr">
        <is>
          <t>alt</t>
        </is>
      </c>
      <c r="O2884" t="n">
        <v>45</v>
      </c>
      <c r="P2884" t="n">
        <v>0.002647</v>
      </c>
      <c r="Q2884" t="n">
        <v>80</v>
      </c>
      <c r="R2884" t="n">
        <v>0.09619999999999999</v>
      </c>
      <c r="S2884">
        <f>IMAGE("https://mitra.stanford.edu/kundaje/oak/projects/neuro-variants/variant_position/credible/roussos_2024/variant_figures/roussos_2024.adolescence.Astrocyte/rs11708101_count_position.png",4,220,900)</f>
        <v/>
      </c>
      <c r="T2884">
        <f>IMAGE("https://mitra.stanford.edu/kundaje/oak/projects/neuro-variants/variant_position/credible/roussos_2024/variant_figures/roussos_2024.adolescence.Astrocyte/rs11708101_profile_position.png",4,220,900)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-0.0213866153999999</v>
      </c>
      <c r="G2885" t="n">
        <v>0.5217137672922222</v>
      </c>
      <c r="H2885" t="n">
        <v>0.011027479254037</v>
      </c>
      <c r="I2885" t="n">
        <v>0.6425866454554408</v>
      </c>
      <c r="J2885" t="n">
        <v>0.5308028958846394</v>
      </c>
      <c r="K2885" t="n">
        <v>0.046988703970618</v>
      </c>
      <c r="L2885" t="b">
        <v>0</v>
      </c>
      <c r="M2885" t="b">
        <v>0</v>
      </c>
      <c r="N2885" t="inlineStr">
        <is>
          <t>ref</t>
        </is>
      </c>
      <c r="O2885" t="n">
        <v>-100</v>
      </c>
      <c r="P2885" t="n">
        <v>0.02231</v>
      </c>
      <c r="Q2885" t="n">
        <v>85</v>
      </c>
      <c r="R2885" t="n">
        <v>0.1655</v>
      </c>
      <c r="S2885">
        <f>IMAGE("https://mitra.stanford.edu/kundaje/oak/projects/neuro-variants/variant_position/credible/roussos_2024/variant_figures/roussos_2024.adolescence.Astrocyte/rs55844174_count_position.png",4,220,900)</f>
        <v/>
      </c>
      <c r="T2885">
        <f>IMAGE("https://mitra.stanford.edu/kundaje/oak/projects/neuro-variants/variant_position/credible/roussos_2024/variant_figures/roussos_2024.adolescence.Astrocyte/rs55844174_profile_position.png",4,220,900)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-0.183126454</v>
      </c>
      <c r="G2886" t="n">
        <v>0.0292159559252145</v>
      </c>
      <c r="H2886" t="n">
        <v>0.018268917681596</v>
      </c>
      <c r="I2886" t="n">
        <v>0.1991111168141915</v>
      </c>
      <c r="J2886" t="n">
        <v>0.0383875322671571</v>
      </c>
      <c r="K2886" t="n">
        <v>0.4775549750909483</v>
      </c>
      <c r="L2886" t="b">
        <v>0</v>
      </c>
      <c r="M2886" t="b">
        <v>0</v>
      </c>
      <c r="N2886" t="inlineStr">
        <is>
          <t>ref</t>
        </is>
      </c>
      <c r="O2886" t="n">
        <v>-100</v>
      </c>
      <c r="P2886" t="n">
        <v>0.003853</v>
      </c>
      <c r="Q2886" t="n">
        <v>55</v>
      </c>
      <c r="R2886" t="n">
        <v>0.1637</v>
      </c>
      <c r="S2886">
        <f>IMAGE("https://mitra.stanford.edu/kundaje/oak/projects/neuro-variants/variant_position/credible/roussos_2024/variant_figures/roussos_2024.adolescence.Astrocyte/rs16832517_count_position.png",4,220,900)</f>
        <v/>
      </c>
      <c r="T2886">
        <f>IMAGE("https://mitra.stanford.edu/kundaje/oak/projects/neuro-variants/variant_position/credible/roussos_2024/variant_figures/roussos_2024.adolescence.Astrocyte/rs16832517_profile_position.png",4,220,900)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0.0003626918</v>
      </c>
      <c r="G2887" t="n">
        <v>0.6881785744921428</v>
      </c>
      <c r="H2887" t="n">
        <v>0.028295497516516</v>
      </c>
      <c r="I2887" t="n">
        <v>0.039577618964908</v>
      </c>
      <c r="J2887" t="n">
        <v>0.8032860576209833</v>
      </c>
      <c r="K2887" t="n">
        <v>0.0080384452739757</v>
      </c>
      <c r="L2887" t="b">
        <v>0</v>
      </c>
      <c r="M2887" t="b">
        <v>0</v>
      </c>
      <c r="N2887" t="inlineStr">
        <is>
          <t>alt</t>
        </is>
      </c>
      <c r="O2887" t="n">
        <v>-55</v>
      </c>
      <c r="P2887" t="n">
        <v>0.02014</v>
      </c>
      <c r="Q2887" t="n">
        <v>-100</v>
      </c>
      <c r="R2887" t="n">
        <v>0.2393</v>
      </c>
      <c r="S2887">
        <f>IMAGE("https://mitra.stanford.edu/kundaje/oak/projects/neuro-variants/variant_position/credible/roussos_2024/variant_figures/roussos_2024.adolescence.Astrocyte/rs75907840_count_position.png",4,220,900)</f>
        <v/>
      </c>
      <c r="T2887">
        <f>IMAGE("https://mitra.stanford.edu/kundaje/oak/projects/neuro-variants/variant_position/credible/roussos_2024/variant_figures/roussos_2024.adolescence.Astrocyte/rs75907840_profile_position.png",4,220,900)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-0.0609095116</v>
      </c>
      <c r="G2888" t="n">
        <v>0.1794247175102433</v>
      </c>
      <c r="H2888" t="n">
        <v>0.0178597736987474</v>
      </c>
      <c r="I2888" t="n">
        <v>0.1952304258544311</v>
      </c>
      <c r="J2888" t="n">
        <v>0.3423063228792689</v>
      </c>
      <c r="K2888" t="n">
        <v>0.112998508985377</v>
      </c>
      <c r="L2888" t="b">
        <v>0</v>
      </c>
      <c r="M2888" t="b">
        <v>0</v>
      </c>
      <c r="N2888" t="inlineStr">
        <is>
          <t>ref</t>
        </is>
      </c>
      <c r="O2888" t="n">
        <v>100</v>
      </c>
      <c r="P2888" t="n">
        <v>0.01584</v>
      </c>
      <c r="Q2888" t="n">
        <v>0</v>
      </c>
      <c r="R2888" t="n">
        <v>0</v>
      </c>
      <c r="S2888">
        <f>IMAGE("https://mitra.stanford.edu/kundaje/oak/projects/neuro-variants/variant_position/credible/roussos_2024/variant_figures/roussos_2024.adolescence.Astrocyte/rs11915160_count_position.png",4,220,900)</f>
        <v/>
      </c>
      <c r="T2888">
        <f>IMAGE("https://mitra.stanford.edu/kundaje/oak/projects/neuro-variants/variant_position/credible/roussos_2024/variant_figures/roussos_2024.adolescence.Astrocyte/rs11915160_profile_position.png",4,220,900)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0.0325666428</v>
      </c>
      <c r="G2889" t="n">
        <v>0.3848921958874919</v>
      </c>
      <c r="H2889" t="n">
        <v>0.0574000426299587</v>
      </c>
      <c r="I2889" t="n">
        <v>0.0022825884235476</v>
      </c>
      <c r="J2889" t="n">
        <v>0.0044795715514938</v>
      </c>
      <c r="K2889" t="n">
        <v>0.7681278504937737</v>
      </c>
      <c r="L2889" t="b">
        <v>0</v>
      </c>
      <c r="M2889" t="b">
        <v>0</v>
      </c>
      <c r="N2889" t="inlineStr">
        <is>
          <t>alt</t>
        </is>
      </c>
      <c r="O2889" t="n">
        <v>-75</v>
      </c>
      <c r="P2889" t="n">
        <v>0.006363</v>
      </c>
      <c r="Q2889" t="n">
        <v>40</v>
      </c>
      <c r="R2889" t="n">
        <v>0.0813</v>
      </c>
      <c r="S2889">
        <f>IMAGE("https://mitra.stanford.edu/kundaje/oak/projects/neuro-variants/variant_position/credible/roussos_2024/variant_figures/roussos_2024.adolescence.Astrocyte/rs12638738_count_position.png",4,220,900)</f>
        <v/>
      </c>
      <c r="T2889">
        <f>IMAGE("https://mitra.stanford.edu/kundaje/oak/projects/neuro-variants/variant_position/credible/roussos_2024/variant_figures/roussos_2024.adolescence.Astrocyte/rs12638738_profile_position.png",4,220,900)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0.201724734</v>
      </c>
      <c r="G2890" t="n">
        <v>0.0170621494880787</v>
      </c>
      <c r="H2890" t="n">
        <v>0.0222358552517008</v>
      </c>
      <c r="I2890" t="n">
        <v>0.0968003291200968</v>
      </c>
      <c r="J2890" t="n">
        <v>0.0030739103343915</v>
      </c>
      <c r="K2890" t="n">
        <v>0.7963613018840111</v>
      </c>
      <c r="L2890" t="b">
        <v>1</v>
      </c>
      <c r="M2890" t="b">
        <v>0</v>
      </c>
      <c r="N2890" t="inlineStr">
        <is>
          <t>alt</t>
        </is>
      </c>
      <c r="O2890" t="n">
        <v>90</v>
      </c>
      <c r="P2890" t="n">
        <v>0.01355</v>
      </c>
      <c r="Q2890" t="n">
        <v>50</v>
      </c>
      <c r="R2890" t="n">
        <v>0.05594</v>
      </c>
      <c r="S2890">
        <f>IMAGE("https://mitra.stanford.edu/kundaje/oak/projects/neuro-variants/variant_position/credible/roussos_2024/variant_figures/roussos_2024.adolescence.Astrocyte/rs57491362_count_position.png",4,220,900)</f>
        <v/>
      </c>
      <c r="T2890">
        <f>IMAGE("https://mitra.stanford.edu/kundaje/oak/projects/neuro-variants/variant_position/credible/roussos_2024/variant_figures/roussos_2024.adolescence.Astrocyte/rs57491362_profile_position.png",4,220,900)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-0.069270076</v>
      </c>
      <c r="G2891" t="n">
        <v>0.1478100946957068</v>
      </c>
      <c r="H2891" t="n">
        <v>0.0124866422601891</v>
      </c>
      <c r="I2891" t="n">
        <v>0.5120011586197354</v>
      </c>
      <c r="J2891" t="n">
        <v>0.0011816455508411</v>
      </c>
      <c r="K2891" t="n">
        <v>0.8685228413265741</v>
      </c>
      <c r="L2891" t="b">
        <v>0</v>
      </c>
      <c r="M2891" t="b">
        <v>0</v>
      </c>
      <c r="N2891" t="inlineStr">
        <is>
          <t>ref</t>
        </is>
      </c>
      <c r="O2891" t="n">
        <v>100</v>
      </c>
      <c r="P2891" t="n">
        <v>0.00929</v>
      </c>
      <c r="Q2891" t="n">
        <v>100</v>
      </c>
      <c r="R2891" t="n">
        <v>0.03412</v>
      </c>
      <c r="S2891">
        <f>IMAGE("https://mitra.stanford.edu/kundaje/oak/projects/neuro-variants/variant_position/credible/roussos_2024/variant_figures/roussos_2024.adolescence.Astrocyte/rs112543424_count_position.png",4,220,900)</f>
        <v/>
      </c>
      <c r="T2891">
        <f>IMAGE("https://mitra.stanford.edu/kundaje/oak/projects/neuro-variants/variant_position/credible/roussos_2024/variant_figures/roussos_2024.adolescence.Astrocyte/rs112543424_profile_position.png",4,220,900)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0.514011694</v>
      </c>
      <c r="G2892" t="n">
        <v>0.0011247319741837</v>
      </c>
      <c r="H2892" t="n">
        <v>0.0604062164992173</v>
      </c>
      <c r="I2892" t="n">
        <v>0.0020146737473588</v>
      </c>
      <c r="J2892" t="n">
        <v>0.011369907723348</v>
      </c>
      <c r="K2892" t="n">
        <v>0.6565190548652022</v>
      </c>
      <c r="L2892" t="b">
        <v>1</v>
      </c>
      <c r="M2892" t="b">
        <v>1</v>
      </c>
      <c r="N2892" t="inlineStr">
        <is>
          <t>alt</t>
        </is>
      </c>
      <c r="O2892" t="n">
        <v>100</v>
      </c>
      <c r="P2892" t="n">
        <v>0.01701</v>
      </c>
      <c r="Q2892" t="n">
        <v>100</v>
      </c>
      <c r="R2892" t="n">
        <v>0.1583</v>
      </c>
      <c r="S2892">
        <f>IMAGE("https://mitra.stanford.edu/kundaje/oak/projects/neuro-variants/variant_position/credible/roussos_2024/variant_figures/roussos_2024.adolescence.Astrocyte/rs60319910_count_position.png",4,220,900)</f>
        <v/>
      </c>
      <c r="T2892">
        <f>IMAGE("https://mitra.stanford.edu/kundaje/oak/projects/neuro-variants/variant_position/credible/roussos_2024/variant_figures/roussos_2024.adolescence.Astrocyte/rs60319910_profile_position.png",4,220,900)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0.0437543051999999</v>
      </c>
      <c r="G2893" t="n">
        <v>0.2695372948828999</v>
      </c>
      <c r="H2893" t="n">
        <v>0.0113298779380667</v>
      </c>
      <c r="I2893" t="n">
        <v>0.6244436837637086</v>
      </c>
      <c r="J2893" t="n">
        <v>0.1038512892027415</v>
      </c>
      <c r="K2893" t="n">
        <v>0.3214520265937299</v>
      </c>
      <c r="L2893" t="b">
        <v>0</v>
      </c>
      <c r="M2893" t="b">
        <v>0</v>
      </c>
      <c r="N2893" t="inlineStr">
        <is>
          <t>alt</t>
        </is>
      </c>
      <c r="O2893" t="n">
        <v>-50</v>
      </c>
      <c r="P2893" t="n">
        <v>0.00962</v>
      </c>
      <c r="Q2893" t="n">
        <v>20</v>
      </c>
      <c r="R2893" t="n">
        <v>0.0626</v>
      </c>
      <c r="S2893">
        <f>IMAGE("https://mitra.stanford.edu/kundaje/oak/projects/neuro-variants/variant_position/credible/roussos_2024/variant_figures/roussos_2024.adolescence.Astrocyte/rs115259874_count_position.png",4,220,900)</f>
        <v/>
      </c>
      <c r="T2893">
        <f>IMAGE("https://mitra.stanford.edu/kundaje/oak/projects/neuro-variants/variant_position/credible/roussos_2024/variant_figures/roussos_2024.adolescence.Astrocyte/rs115259874_profile_position.png",4,220,900)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-0.02172841896</v>
      </c>
      <c r="G2894" t="n">
        <v>0.5359241753655554</v>
      </c>
      <c r="H2894" t="n">
        <v>0.0115388557622274</v>
      </c>
      <c r="I2894" t="n">
        <v>0.6031644215790266</v>
      </c>
      <c r="J2894" t="n">
        <v>0.0064719757885054</v>
      </c>
      <c r="K2894" t="n">
        <v>0.7054346046017446</v>
      </c>
      <c r="L2894" t="b">
        <v>0</v>
      </c>
      <c r="M2894" t="b">
        <v>0</v>
      </c>
      <c r="N2894" t="inlineStr">
        <is>
          <t>ref</t>
        </is>
      </c>
      <c r="O2894" t="n">
        <v>90</v>
      </c>
      <c r="P2894" t="n">
        <v>0.01099</v>
      </c>
      <c r="Q2894" t="n">
        <v>-100</v>
      </c>
      <c r="R2894" t="n">
        <v>0.06824</v>
      </c>
      <c r="S2894">
        <f>IMAGE("https://mitra.stanford.edu/kundaje/oak/projects/neuro-variants/variant_position/credible/roussos_2024/variant_figures/roussos_2024.adolescence.Astrocyte/rs4686478_count_position.png",4,220,900)</f>
        <v/>
      </c>
      <c r="T2894">
        <f>IMAGE("https://mitra.stanford.edu/kundaje/oak/projects/neuro-variants/variant_position/credible/roussos_2024/variant_figures/roussos_2024.adolescence.Astrocyte/rs4686478_profile_position.png",4,220,900)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0.06275758092</v>
      </c>
      <c r="G2895" t="n">
        <v>0.1735610562816995</v>
      </c>
      <c r="H2895" t="n">
        <v>0.028520217857141</v>
      </c>
      <c r="I2895" t="n">
        <v>0.0383272766567001</v>
      </c>
      <c r="J2895" t="n">
        <v>0.1651611132540129</v>
      </c>
      <c r="K2895" t="n">
        <v>0.2408056102956687</v>
      </c>
      <c r="L2895" t="b">
        <v>0</v>
      </c>
      <c r="M2895" t="b">
        <v>0</v>
      </c>
      <c r="N2895" t="inlineStr">
        <is>
          <t>alt</t>
        </is>
      </c>
      <c r="O2895" t="n">
        <v>90</v>
      </c>
      <c r="P2895" t="n">
        <v>0.00766</v>
      </c>
      <c r="Q2895" t="n">
        <v>95</v>
      </c>
      <c r="R2895" t="n">
        <v>0.1284</v>
      </c>
      <c r="S2895">
        <f>IMAGE("https://mitra.stanford.edu/kundaje/oak/projects/neuro-variants/variant_position/credible/roussos_2024/variant_figures/roussos_2024.adolescence.Astrocyte/rs4572756_count_position.png",4,220,900)</f>
        <v/>
      </c>
      <c r="T2895">
        <f>IMAGE("https://mitra.stanford.edu/kundaje/oak/projects/neuro-variants/variant_position/credible/roussos_2024/variant_figures/roussos_2024.adolescence.Astrocyte/rs4572756_profile_position.png",4,220,900)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-0.208522728</v>
      </c>
      <c r="G2896" t="n">
        <v>0.0166063647607535</v>
      </c>
      <c r="H2896" t="n">
        <v>0.0393707202694273</v>
      </c>
      <c r="I2896" t="n">
        <v>0.0102333593630338</v>
      </c>
      <c r="J2896" t="n">
        <v>0.3548393318102246</v>
      </c>
      <c r="K2896" t="n">
        <v>0.1061130619569057</v>
      </c>
      <c r="L2896" t="b">
        <v>1</v>
      </c>
      <c r="M2896" t="b">
        <v>0</v>
      </c>
      <c r="N2896" t="inlineStr">
        <is>
          <t>ref</t>
        </is>
      </c>
      <c r="O2896" t="n">
        <v>-50</v>
      </c>
      <c r="P2896" t="n">
        <v>0.01099</v>
      </c>
      <c r="Q2896" t="n">
        <v>-45</v>
      </c>
      <c r="R2896" t="n">
        <v>0.0791</v>
      </c>
      <c r="S2896">
        <f>IMAGE("https://mitra.stanford.edu/kundaje/oak/projects/neuro-variants/variant_position/credible/roussos_2024/variant_figures/roussos_2024.adolescence.Astrocyte/rs79650876_count_position.png",4,220,900)</f>
        <v/>
      </c>
      <c r="T2896">
        <f>IMAGE("https://mitra.stanford.edu/kundaje/oak/projects/neuro-variants/variant_position/credible/roussos_2024/variant_figures/roussos_2024.adolescence.Astrocyte/rs79650876_profile_position.png",4,220,900)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0.3125943519999999</v>
      </c>
      <c r="G2897" t="n">
        <v>0.0058222335635293</v>
      </c>
      <c r="H2897" t="n">
        <v>0.0464040382954943</v>
      </c>
      <c r="I2897" t="n">
        <v>0.0057052323214742</v>
      </c>
      <c r="J2897" t="n">
        <v>0.0027564311782333</v>
      </c>
      <c r="K2897" t="n">
        <v>0.8088162210269767</v>
      </c>
      <c r="L2897" t="b">
        <v>1</v>
      </c>
      <c r="M2897" t="b">
        <v>1</v>
      </c>
      <c r="N2897" t="inlineStr">
        <is>
          <t>alt</t>
        </is>
      </c>
      <c r="O2897" t="n">
        <v>95</v>
      </c>
      <c r="P2897" t="n">
        <v>0.01776</v>
      </c>
      <c r="Q2897" t="n">
        <v>5</v>
      </c>
      <c r="R2897" t="n">
        <v>0.002441</v>
      </c>
      <c r="S2897">
        <f>IMAGE("https://mitra.stanford.edu/kundaje/oak/projects/neuro-variants/variant_position/credible/roussos_2024/variant_figures/roussos_2024.adolescence.Astrocyte/rs1365261_count_position.png",4,220,900)</f>
        <v/>
      </c>
      <c r="T2897">
        <f>IMAGE("https://mitra.stanford.edu/kundaje/oak/projects/neuro-variants/variant_position/credible/roussos_2024/variant_figures/roussos_2024.adolescence.Astrocyte/rs1365261_profile_position.png",4,220,900)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-0.0070992430999999</v>
      </c>
      <c r="G2898" t="n">
        <v>0.370448515161342</v>
      </c>
      <c r="H2898" t="n">
        <v>0.0119876843242661</v>
      </c>
      <c r="I2898" t="n">
        <v>0.559827989889482</v>
      </c>
      <c r="J2898" t="n">
        <v>0.6180340029077531</v>
      </c>
      <c r="K2898" t="n">
        <v>0.0297216320147514</v>
      </c>
      <c r="L2898" t="b">
        <v>0</v>
      </c>
      <c r="M2898" t="b">
        <v>0</v>
      </c>
      <c r="N2898" t="inlineStr">
        <is>
          <t>ref</t>
        </is>
      </c>
      <c r="O2898" t="n">
        <v>-90</v>
      </c>
      <c r="P2898" t="n">
        <v>0.005135</v>
      </c>
      <c r="Q2898" t="n">
        <v>35</v>
      </c>
      <c r="R2898" t="n">
        <v>0.1045</v>
      </c>
      <c r="S2898">
        <f>IMAGE("https://mitra.stanford.edu/kundaje/oak/projects/neuro-variants/variant_position/credible/roussos_2024/variant_figures/roussos_2024.adolescence.Astrocyte/rs1426271_count_position.png",4,220,900)</f>
        <v/>
      </c>
      <c r="T2898">
        <f>IMAGE("https://mitra.stanford.edu/kundaje/oak/projects/neuro-variants/variant_position/credible/roussos_2024/variant_figures/roussos_2024.adolescence.Astrocyte/rs1426271_profile_position.png",4,220,900)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0.0107218112999999</v>
      </c>
      <c r="G2899" t="n">
        <v>0.6610467073296729</v>
      </c>
      <c r="H2899" t="n">
        <v>0.0224235065543088</v>
      </c>
      <c r="I2899" t="n">
        <v>0.09282874780256049</v>
      </c>
      <c r="J2899" t="n">
        <v>0.0310209773610657</v>
      </c>
      <c r="K2899" t="n">
        <v>0.5205105983823182</v>
      </c>
      <c r="L2899" t="b">
        <v>0</v>
      </c>
      <c r="M2899" t="b">
        <v>0</v>
      </c>
      <c r="N2899" t="inlineStr">
        <is>
          <t>alt</t>
        </is>
      </c>
      <c r="O2899" t="n">
        <v>90</v>
      </c>
      <c r="P2899" t="n">
        <v>0.01431</v>
      </c>
      <c r="Q2899" t="n">
        <v>-30</v>
      </c>
      <c r="R2899" t="n">
        <v>0.05682</v>
      </c>
      <c r="S2899">
        <f>IMAGE("https://mitra.stanford.edu/kundaje/oak/projects/neuro-variants/variant_position/credible/roussos_2024/variant_figures/roussos_2024.adolescence.Astrocyte/rs9683218_count_position.png",4,220,900)</f>
        <v/>
      </c>
      <c r="T2899">
        <f>IMAGE("https://mitra.stanford.edu/kundaje/oak/projects/neuro-variants/variant_position/credible/roussos_2024/variant_figures/roussos_2024.adolescence.Astrocyte/rs9683218_profile_position.png",4,220,900)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-0.00268343434</v>
      </c>
      <c r="G2900" t="n">
        <v>0.7076064127161859</v>
      </c>
      <c r="H2900" t="n">
        <v>0.0087220645228103</v>
      </c>
      <c r="I2900" t="n">
        <v>0.8777834306064182</v>
      </c>
      <c r="J2900" t="n">
        <v>0.0944315046138325</v>
      </c>
      <c r="K2900" t="n">
        <v>0.3358170007955566</v>
      </c>
      <c r="L2900" t="b">
        <v>0</v>
      </c>
      <c r="M2900" t="b">
        <v>0</v>
      </c>
      <c r="N2900" t="inlineStr">
        <is>
          <t>ref</t>
        </is>
      </c>
      <c r="O2900" t="n">
        <v>20</v>
      </c>
      <c r="P2900" t="n">
        <v>0.0009155</v>
      </c>
      <c r="Q2900" t="n">
        <v>90</v>
      </c>
      <c r="R2900" t="n">
        <v>0.03546</v>
      </c>
      <c r="S2900">
        <f>IMAGE("https://mitra.stanford.edu/kundaje/oak/projects/neuro-variants/variant_position/credible/roussos_2024/variant_figures/roussos_2024.adolescence.Astrocyte/rs35734242_count_position.png",4,220,900)</f>
        <v/>
      </c>
      <c r="T2900">
        <f>IMAGE("https://mitra.stanford.edu/kundaje/oak/projects/neuro-variants/variant_position/credible/roussos_2024/variant_figures/roussos_2024.adolescence.Astrocyte/rs35734242_profile_position.png",4,220,900)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0.1609154286</v>
      </c>
      <c r="G2901" t="n">
        <v>0.0347252016326722</v>
      </c>
      <c r="H2901" t="n">
        <v>0.0151509899301013</v>
      </c>
      <c r="I2901" t="n">
        <v>0.3114724576569647</v>
      </c>
      <c r="J2901" t="n">
        <v>0.0170704388333382</v>
      </c>
      <c r="K2901" t="n">
        <v>0.5946484065439357</v>
      </c>
      <c r="L2901" t="b">
        <v>0</v>
      </c>
      <c r="M2901" t="b">
        <v>0</v>
      </c>
      <c r="N2901" t="inlineStr">
        <is>
          <t>alt</t>
        </is>
      </c>
      <c r="O2901" t="n">
        <v>100</v>
      </c>
      <c r="P2901" t="n">
        <v>0.0155</v>
      </c>
      <c r="Q2901" t="n">
        <v>10</v>
      </c>
      <c r="R2901" t="n">
        <v>0.02008</v>
      </c>
      <c r="S2901">
        <f>IMAGE("https://mitra.stanford.edu/kundaje/oak/projects/neuro-variants/variant_position/credible/roussos_2024/variant_figures/roussos_2024.adolescence.Astrocyte/rs199753793_count_position.png",4,220,900)</f>
        <v/>
      </c>
      <c r="T2901">
        <f>IMAGE("https://mitra.stanford.edu/kundaje/oak/projects/neuro-variants/variant_position/credible/roussos_2024/variant_figures/roussos_2024.adolescence.Astrocyte/rs199753793_profile_position.png",4,220,900)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0.01000350846</v>
      </c>
      <c r="G2902" t="n">
        <v>0.5497715567945056</v>
      </c>
      <c r="H2902" t="n">
        <v>0.0323819916992556</v>
      </c>
      <c r="I2902" t="n">
        <v>0.0232132217430966</v>
      </c>
      <c r="J2902" t="n">
        <v>0.025369403317212</v>
      </c>
      <c r="K2902" t="n">
        <v>0.5800794827946363</v>
      </c>
      <c r="L2902" t="b">
        <v>0</v>
      </c>
      <c r="M2902" t="b">
        <v>0</v>
      </c>
      <c r="N2902" t="inlineStr">
        <is>
          <t>alt</t>
        </is>
      </c>
      <c r="O2902" t="n">
        <v>-70</v>
      </c>
      <c r="P2902" t="n">
        <v>0.02405</v>
      </c>
      <c r="Q2902" t="n">
        <v>-100</v>
      </c>
      <c r="R2902" t="n">
        <v>0.1388</v>
      </c>
      <c r="S2902">
        <f>IMAGE("https://mitra.stanford.edu/kundaje/oak/projects/neuro-variants/variant_position/credible/roussos_2024/variant_figures/roussos_2024.adolescence.Astrocyte/rs73100346_count_position.png",4,220,900)</f>
        <v/>
      </c>
      <c r="T2902">
        <f>IMAGE("https://mitra.stanford.edu/kundaje/oak/projects/neuro-variants/variant_position/credible/roussos_2024/variant_figures/roussos_2024.adolescence.Astrocyte/rs73100346_profile_position.png",4,220,900)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0.0706979886</v>
      </c>
      <c r="G2903" t="n">
        <v>0.1499404374921413</v>
      </c>
      <c r="H2903" t="n">
        <v>0.0307238928621695</v>
      </c>
      <c r="I2903" t="n">
        <v>0.0288331981267831</v>
      </c>
      <c r="J2903" t="n">
        <v>0.0456621072308102</v>
      </c>
      <c r="K2903" t="n">
        <v>0.453136140897163</v>
      </c>
      <c r="L2903" t="b">
        <v>0</v>
      </c>
      <c r="M2903" t="b">
        <v>0</v>
      </c>
      <c r="N2903" t="inlineStr">
        <is>
          <t>alt</t>
        </is>
      </c>
      <c r="O2903" t="n">
        <v>5</v>
      </c>
      <c r="P2903" t="n">
        <v>0.001175</v>
      </c>
      <c r="Q2903" t="n">
        <v>-55</v>
      </c>
      <c r="R2903" t="n">
        <v>0.07056</v>
      </c>
      <c r="S2903">
        <f>IMAGE("https://mitra.stanford.edu/kundaje/oak/projects/neuro-variants/variant_position/credible/roussos_2024/variant_figures/roussos_2024.adolescence.Astrocyte/rs215407_count_position.png",4,220,900)</f>
        <v/>
      </c>
      <c r="T2903">
        <f>IMAGE("https://mitra.stanford.edu/kundaje/oak/projects/neuro-variants/variant_position/credible/roussos_2024/variant_figures/roussos_2024.adolescence.Astrocyte/rs215407_profile_position.png",4,220,900)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0.039262157</v>
      </c>
      <c r="G2904" t="n">
        <v>0.3315805753662966</v>
      </c>
      <c r="H2904" t="n">
        <v>0.009540597038027</v>
      </c>
      <c r="I2904" t="n">
        <v>0.8080378361585515</v>
      </c>
      <c r="J2904" t="n">
        <v>0.2134965730053704</v>
      </c>
      <c r="K2904" t="n">
        <v>0.1910480385288393</v>
      </c>
      <c r="L2904" t="b">
        <v>0</v>
      </c>
      <c r="M2904" t="b">
        <v>0</v>
      </c>
      <c r="N2904" t="inlineStr">
        <is>
          <t>alt</t>
        </is>
      </c>
      <c r="O2904" t="n">
        <v>-15</v>
      </c>
      <c r="P2904" t="n">
        <v>0.00953</v>
      </c>
      <c r="Q2904" t="n">
        <v>-60</v>
      </c>
      <c r="R2904" t="n">
        <v>0.2341</v>
      </c>
      <c r="S2904">
        <f>IMAGE("https://mitra.stanford.edu/kundaje/oak/projects/neuro-variants/variant_position/credible/roussos_2024/variant_figures/roussos_2024.adolescence.Astrocyte/rs215405_count_position.png",4,220,900)</f>
        <v/>
      </c>
      <c r="T2904">
        <f>IMAGE("https://mitra.stanford.edu/kundaje/oak/projects/neuro-variants/variant_position/credible/roussos_2024/variant_figures/roussos_2024.adolescence.Astrocyte/rs215405_profile_position.png",4,220,900)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-0.0362351284</v>
      </c>
      <c r="G2905" t="n">
        <v>0.3572492759298792</v>
      </c>
      <c r="H2905" t="n">
        <v>0.0112675358663568</v>
      </c>
      <c r="I2905" t="n">
        <v>0.6127664294157963</v>
      </c>
      <c r="J2905" t="n">
        <v>0.2133252232738925</v>
      </c>
      <c r="K2905" t="n">
        <v>0.1916071429936828</v>
      </c>
      <c r="L2905" t="b">
        <v>0</v>
      </c>
      <c r="M2905" t="b">
        <v>0</v>
      </c>
      <c r="N2905" t="inlineStr">
        <is>
          <t>ref</t>
        </is>
      </c>
      <c r="O2905" t="n">
        <v>-90</v>
      </c>
      <c r="P2905" t="n">
        <v>0.01102</v>
      </c>
      <c r="Q2905" t="n">
        <v>95</v>
      </c>
      <c r="R2905" t="n">
        <v>0.11707</v>
      </c>
      <c r="S2905">
        <f>IMAGE("https://mitra.stanford.edu/kundaje/oak/projects/neuro-variants/variant_position/credible/roussos_2024/variant_figures/roussos_2024.adolescence.Astrocyte/rs17541787_count_position.png",4,220,900)</f>
        <v/>
      </c>
      <c r="T2905">
        <f>IMAGE("https://mitra.stanford.edu/kundaje/oak/projects/neuro-variants/variant_position/credible/roussos_2024/variant_figures/roussos_2024.adolescence.Astrocyte/rs17541787_profile_position.png",4,220,900)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-0.0444157786</v>
      </c>
      <c r="G2906" t="n">
        <v>0.2834213527801433</v>
      </c>
      <c r="H2906" t="n">
        <v>0.0539300512359815</v>
      </c>
      <c r="I2906" t="n">
        <v>0.0029383219316798</v>
      </c>
      <c r="J2906" t="n">
        <v>0.0001201673441533</v>
      </c>
      <c r="K2906" t="n">
        <v>0.97730935685733</v>
      </c>
      <c r="L2906" t="b">
        <v>0</v>
      </c>
      <c r="M2906" t="b">
        <v>0</v>
      </c>
      <c r="N2906" t="inlineStr">
        <is>
          <t>ref</t>
        </is>
      </c>
      <c r="O2906" t="n">
        <v>95</v>
      </c>
      <c r="P2906" t="n">
        <v>0.013306</v>
      </c>
      <c r="Q2906" t="n">
        <v>70</v>
      </c>
      <c r="R2906" t="n">
        <v>0.08989999999999999</v>
      </c>
      <c r="S2906">
        <f>IMAGE("https://mitra.stanford.edu/kundaje/oak/projects/neuro-variants/variant_position/credible/roussos_2024/variant_figures/roussos_2024.adolescence.Astrocyte/rs199797430_count_position.png",4,220,900)</f>
        <v/>
      </c>
      <c r="T2906">
        <f>IMAGE("https://mitra.stanford.edu/kundaje/oak/projects/neuro-variants/variant_position/credible/roussos_2024/variant_figures/roussos_2024.adolescence.Astrocyte/rs199797430_profile_position.png",4,220,900)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0.0141142140539999</v>
      </c>
      <c r="G2907" t="n">
        <v>0.5796735575782691</v>
      </c>
      <c r="H2907" t="n">
        <v>0.0355084269284738</v>
      </c>
      <c r="I2907" t="n">
        <v>0.0159938435213889</v>
      </c>
      <c r="J2907" t="n">
        <v>0.1001320357238227</v>
      </c>
      <c r="K2907" t="n">
        <v>0.3227675316643535</v>
      </c>
      <c r="L2907" t="b">
        <v>1</v>
      </c>
      <c r="M2907" t="b">
        <v>0</v>
      </c>
      <c r="N2907" t="inlineStr">
        <is>
          <t>alt</t>
        </is>
      </c>
      <c r="O2907" t="n">
        <v>-35</v>
      </c>
      <c r="P2907" t="n">
        <v>0.00757</v>
      </c>
      <c r="Q2907" t="n">
        <v>0</v>
      </c>
      <c r="R2907" t="n">
        <v>0</v>
      </c>
      <c r="S2907">
        <f>IMAGE("https://mitra.stanford.edu/kundaje/oak/projects/neuro-variants/variant_position/credible/roussos_2024/variant_figures/roussos_2024.adolescence.Astrocyte/rs12641122_count_position.png",4,220,900)</f>
        <v/>
      </c>
      <c r="T2907">
        <f>IMAGE("https://mitra.stanford.edu/kundaje/oak/projects/neuro-variants/variant_position/credible/roussos_2024/variant_figures/roussos_2024.adolescence.Astrocyte/rs12641122_profile_position.png",4,220,900)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-0.0994084628</v>
      </c>
      <c r="G2908" t="n">
        <v>0.0822228051637942</v>
      </c>
      <c r="H2908" t="n">
        <v>0.0157604187603573</v>
      </c>
      <c r="I2908" t="n">
        <v>0.2832823891931544</v>
      </c>
      <c r="J2908" t="n">
        <v>0.0034996884550336</v>
      </c>
      <c r="K2908" t="n">
        <v>0.7817020787218754</v>
      </c>
      <c r="L2908" t="b">
        <v>0</v>
      </c>
      <c r="M2908" t="b">
        <v>0</v>
      </c>
      <c r="N2908" t="inlineStr">
        <is>
          <t>ref</t>
        </is>
      </c>
      <c r="O2908" t="n">
        <v>-45</v>
      </c>
      <c r="P2908" t="n">
        <v>0.002676</v>
      </c>
      <c r="Q2908" t="n">
        <v>-5</v>
      </c>
      <c r="R2908" t="n">
        <v>0.0696</v>
      </c>
      <c r="S2908">
        <f>IMAGE("https://mitra.stanford.edu/kundaje/oak/projects/neuro-variants/variant_position/credible/roussos_2024/variant_figures/roussos_2024.adolescence.Astrocyte/rs717947_count_position.png",4,220,900)</f>
        <v/>
      </c>
      <c r="T2908">
        <f>IMAGE("https://mitra.stanford.edu/kundaje/oak/projects/neuro-variants/variant_position/credible/roussos_2024/variant_figures/roussos_2024.adolescence.Astrocyte/rs717947_profile_position.png",4,220,900)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0.01375418528</v>
      </c>
      <c r="G2909" t="n">
        <v>0.659831485108177</v>
      </c>
      <c r="H2909" t="n">
        <v>0.0172344760264487</v>
      </c>
      <c r="I2909" t="n">
        <v>0.2184278143269932</v>
      </c>
      <c r="J2909" t="n">
        <v>0.04223733792244</v>
      </c>
      <c r="K2909" t="n">
        <v>0.4612146671530406</v>
      </c>
      <c r="L2909" t="b">
        <v>0</v>
      </c>
      <c r="M2909" t="b">
        <v>0</v>
      </c>
      <c r="N2909" t="inlineStr">
        <is>
          <t>alt</t>
        </is>
      </c>
      <c r="O2909" t="n">
        <v>100</v>
      </c>
      <c r="P2909" t="n">
        <v>0.01674</v>
      </c>
      <c r="Q2909" t="n">
        <v>100</v>
      </c>
      <c r="R2909" t="n">
        <v>0.1975</v>
      </c>
      <c r="S2909">
        <f>IMAGE("https://mitra.stanford.edu/kundaje/oak/projects/neuro-variants/variant_position/credible/roussos_2024/variant_figures/roussos_2024.adolescence.Astrocyte/rs16989137_count_position.png",4,220,900)</f>
        <v/>
      </c>
      <c r="T2909">
        <f>IMAGE("https://mitra.stanford.edu/kundaje/oak/projects/neuro-variants/variant_position/credible/roussos_2024/variant_figures/roussos_2024.adolescence.Astrocyte/rs16989137_profile_position.png",4,220,900)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-0.0289306294</v>
      </c>
      <c r="G2910" t="n">
        <v>0.4255257025737585</v>
      </c>
      <c r="H2910" t="n">
        <v>0.0508934650748798</v>
      </c>
      <c r="I2910" t="n">
        <v>0.0037075657414784</v>
      </c>
      <c r="J2910" t="n">
        <v>0.0046783669109574</v>
      </c>
      <c r="K2910" t="n">
        <v>0.7425639987317589</v>
      </c>
      <c r="L2910" t="b">
        <v>0</v>
      </c>
      <c r="M2910" t="b">
        <v>0</v>
      </c>
      <c r="N2910" t="inlineStr">
        <is>
          <t>ref</t>
        </is>
      </c>
      <c r="O2910" t="n">
        <v>-100</v>
      </c>
      <c r="P2910" t="n">
        <v>0.01952</v>
      </c>
      <c r="Q2910" t="n">
        <v>65</v>
      </c>
      <c r="R2910" t="n">
        <v>0.1061</v>
      </c>
      <c r="S2910">
        <f>IMAGE("https://mitra.stanford.edu/kundaje/oak/projects/neuro-variants/variant_position/credible/roussos_2024/variant_figures/roussos_2024.adolescence.Astrocyte/rs12649881_count_position.png",4,220,900)</f>
        <v/>
      </c>
      <c r="T2910">
        <f>IMAGE("https://mitra.stanford.edu/kundaje/oak/projects/neuro-variants/variant_position/credible/roussos_2024/variant_figures/roussos_2024.adolescence.Astrocyte/rs12649881_profile_position.png",4,220,900)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-0.0782768048</v>
      </c>
      <c r="G2911" t="n">
        <v>0.1224318188978306</v>
      </c>
      <c r="H2911" t="n">
        <v>0.0114132822512272</v>
      </c>
      <c r="I2911" t="n">
        <v>0.6169780054390915</v>
      </c>
      <c r="J2911" t="n">
        <v>0.0024686229712488</v>
      </c>
      <c r="K2911" t="n">
        <v>0.8192947077260924</v>
      </c>
      <c r="L2911" t="b">
        <v>0</v>
      </c>
      <c r="M2911" t="b">
        <v>0</v>
      </c>
      <c r="N2911" t="inlineStr">
        <is>
          <t>ref</t>
        </is>
      </c>
      <c r="O2911" t="n">
        <v>-85</v>
      </c>
      <c r="P2911" t="n">
        <v>0.003294</v>
      </c>
      <c r="Q2911" t="n">
        <v>15</v>
      </c>
      <c r="R2911" t="n">
        <v>0.02747</v>
      </c>
      <c r="S2911">
        <f>IMAGE("https://mitra.stanford.edu/kundaje/oak/projects/neuro-variants/variant_position/credible/roussos_2024/variant_figures/roussos_2024.adolescence.Astrocyte/rs28430802_count_position.png",4,220,900)</f>
        <v/>
      </c>
      <c r="T2911">
        <f>IMAGE("https://mitra.stanford.edu/kundaje/oak/projects/neuro-variants/variant_position/credible/roussos_2024/variant_figures/roussos_2024.adolescence.Astrocyte/rs28430802_profile_position.png",4,220,900)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0.2446631568</v>
      </c>
      <c r="G2912" t="n">
        <v>0.0117308176472896</v>
      </c>
      <c r="H2912" t="n">
        <v>0.036525766805204</v>
      </c>
      <c r="I2912" t="n">
        <v>0.0155998273745854</v>
      </c>
      <c r="J2912" t="n">
        <v>0.1803459632673648</v>
      </c>
      <c r="K2912" t="n">
        <v>0.2233921419367221</v>
      </c>
      <c r="L2912" t="b">
        <v>1</v>
      </c>
      <c r="M2912" t="b">
        <v>0</v>
      </c>
      <c r="N2912" t="inlineStr">
        <is>
          <t>alt</t>
        </is>
      </c>
      <c r="O2912" t="n">
        <v>-10</v>
      </c>
      <c r="P2912" t="n">
        <v>0.00235</v>
      </c>
      <c r="Q2912" t="n">
        <v>35</v>
      </c>
      <c r="R2912" t="n">
        <v>0.02466</v>
      </c>
      <c r="S2912">
        <f>IMAGE("https://mitra.stanford.edu/kundaje/oak/projects/neuro-variants/variant_position/credible/roussos_2024/variant_figures/roussos_2024.adolescence.Astrocyte/rs16989149_count_position.png",4,220,900)</f>
        <v/>
      </c>
      <c r="T2912">
        <f>IMAGE("https://mitra.stanford.edu/kundaje/oak/projects/neuro-variants/variant_position/credible/roussos_2024/variant_figures/roussos_2024.adolescence.Astrocyte/rs16989149_profile_position.png",4,220,900)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0.002137813048</v>
      </c>
      <c r="G2913" t="n">
        <v>0.90194544819734</v>
      </c>
      <c r="H2913" t="n">
        <v>0.0289662101393994</v>
      </c>
      <c r="I2913" t="n">
        <v>0.0357128638342112</v>
      </c>
      <c r="J2913" t="n">
        <v>0.003209654926861</v>
      </c>
      <c r="K2913" t="n">
        <v>0.7966325992461381</v>
      </c>
      <c r="L2913" t="b">
        <v>0</v>
      </c>
      <c r="M2913" t="b">
        <v>0</v>
      </c>
      <c r="N2913" t="inlineStr">
        <is>
          <t>alt</t>
        </is>
      </c>
      <c r="O2913" t="n">
        <v>-65</v>
      </c>
      <c r="P2913" t="n">
        <v>0.00448</v>
      </c>
      <c r="Q2913" t="n">
        <v>-85</v>
      </c>
      <c r="R2913" t="n">
        <v>0.1266</v>
      </c>
      <c r="S2913">
        <f>IMAGE("https://mitra.stanford.edu/kundaje/oak/projects/neuro-variants/variant_position/credible/roussos_2024/variant_figures/roussos_2024.adolescence.Astrocyte/rs28379456_count_position.png",4,220,900)</f>
        <v/>
      </c>
      <c r="T2913">
        <f>IMAGE("https://mitra.stanford.edu/kundaje/oak/projects/neuro-variants/variant_position/credible/roussos_2024/variant_figures/roussos_2024.adolescence.Astrocyte/rs28379456_profile_position.png",4,220,900)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-0.00668177292</v>
      </c>
      <c r="G2914" t="n">
        <v>0.8232135955532646</v>
      </c>
      <c r="H2914" t="n">
        <v>0.0204108525639724</v>
      </c>
      <c r="I2914" t="n">
        <v>0.1279838941807858</v>
      </c>
      <c r="J2914" t="n">
        <v>0.1434182416995519</v>
      </c>
      <c r="K2914" t="n">
        <v>0.2610284428610659</v>
      </c>
      <c r="L2914" t="b">
        <v>0</v>
      </c>
      <c r="M2914" t="b">
        <v>0</v>
      </c>
      <c r="N2914" t="inlineStr">
        <is>
          <t>ref</t>
        </is>
      </c>
      <c r="O2914" t="n">
        <v>-75</v>
      </c>
      <c r="P2914" t="n">
        <v>0.002432</v>
      </c>
      <c r="Q2914" t="n">
        <v>40</v>
      </c>
      <c r="R2914" t="n">
        <v>0.139</v>
      </c>
      <c r="S2914">
        <f>IMAGE("https://mitra.stanford.edu/kundaje/oak/projects/neuro-variants/variant_position/credible/roussos_2024/variant_figures/roussos_2024.adolescence.Astrocyte/rs35071135_count_position.png",4,220,900)</f>
        <v/>
      </c>
      <c r="T2914">
        <f>IMAGE("https://mitra.stanford.edu/kundaje/oak/projects/neuro-variants/variant_position/credible/roussos_2024/variant_figures/roussos_2024.adolescence.Astrocyte/rs35071135_profile_position.png",4,220,900)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0.08515390439999999</v>
      </c>
      <c r="G2915" t="n">
        <v>0.1134057629867514</v>
      </c>
      <c r="H2915" t="n">
        <v>0.0224423626269192</v>
      </c>
      <c r="I2915" t="n">
        <v>0.0938408119901043</v>
      </c>
      <c r="J2915" t="n">
        <v>0.3003211880248049</v>
      </c>
      <c r="K2915" t="n">
        <v>0.1332498899732463</v>
      </c>
      <c r="L2915" t="b">
        <v>0</v>
      </c>
      <c r="M2915" t="b">
        <v>0</v>
      </c>
      <c r="N2915" t="inlineStr">
        <is>
          <t>alt</t>
        </is>
      </c>
      <c r="O2915" t="n">
        <v>-100</v>
      </c>
      <c r="P2915" t="n">
        <v>0.08400000000000001</v>
      </c>
      <c r="Q2915" t="n">
        <v>-100</v>
      </c>
      <c r="R2915" t="n">
        <v>0.527</v>
      </c>
      <c r="S2915">
        <f>IMAGE("https://mitra.stanford.edu/kundaje/oak/projects/neuro-variants/variant_position/credible/roussos_2024/variant_figures/roussos_2024.adolescence.Astrocyte/rs1965242_count_position.png",4,220,900)</f>
        <v/>
      </c>
      <c r="T2915">
        <f>IMAGE("https://mitra.stanford.edu/kundaje/oak/projects/neuro-variants/variant_position/credible/roussos_2024/variant_figures/roussos_2024.adolescence.Astrocyte/rs1965242_profile_position.png",4,220,900)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0.00348503728</v>
      </c>
      <c r="G2916" t="n">
        <v>0.8804819818447178</v>
      </c>
      <c r="H2916" t="n">
        <v>0.024068222325014</v>
      </c>
      <c r="I2916" t="n">
        <v>0.0720138400106683</v>
      </c>
      <c r="J2916" t="n">
        <v>0.0065179657597246</v>
      </c>
      <c r="K2916" t="n">
        <v>0.7242319374449384</v>
      </c>
      <c r="L2916" t="b">
        <v>0</v>
      </c>
      <c r="M2916" t="b">
        <v>0</v>
      </c>
      <c r="N2916" t="inlineStr">
        <is>
          <t>alt</t>
        </is>
      </c>
      <c r="O2916" t="n">
        <v>20</v>
      </c>
      <c r="P2916" t="n">
        <v>0.003983</v>
      </c>
      <c r="Q2916" t="n">
        <v>-100</v>
      </c>
      <c r="R2916" t="n">
        <v>0.182</v>
      </c>
      <c r="S2916">
        <f>IMAGE("https://mitra.stanford.edu/kundaje/oak/projects/neuro-variants/variant_position/credible/roussos_2024/variant_figures/roussos_2024.adolescence.Astrocyte/rs12641809_count_position.png",4,220,900)</f>
        <v/>
      </c>
      <c r="T2916">
        <f>IMAGE("https://mitra.stanford.edu/kundaje/oak/projects/neuro-variants/variant_position/credible/roussos_2024/variant_figures/roussos_2024.adolescence.Astrocyte/rs12641809_profile_position.png",4,220,900)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0.0985862676</v>
      </c>
      <c r="G2917" t="n">
        <v>0.0873640367208329</v>
      </c>
      <c r="H2917" t="n">
        <v>0.0102665376058663</v>
      </c>
      <c r="I2917" t="n">
        <v>0.6888580214743515</v>
      </c>
      <c r="J2917" t="n">
        <v>0.0148109960537637</v>
      </c>
      <c r="K2917" t="n">
        <v>0.6147505437219218</v>
      </c>
      <c r="L2917" t="b">
        <v>0</v>
      </c>
      <c r="M2917" t="b">
        <v>0</v>
      </c>
      <c r="N2917" t="inlineStr">
        <is>
          <t>alt</t>
        </is>
      </c>
      <c r="O2917" t="n">
        <v>100</v>
      </c>
      <c r="P2917" t="n">
        <v>0.007744</v>
      </c>
      <c r="Q2917" t="n">
        <v>35</v>
      </c>
      <c r="R2917" t="n">
        <v>0.08606</v>
      </c>
      <c r="S2917">
        <f>IMAGE("https://mitra.stanford.edu/kundaje/oak/projects/neuro-variants/variant_position/credible/roussos_2024/variant_figures/roussos_2024.adolescence.Astrocyte/rs67906834_count_position.png",4,220,900)</f>
        <v/>
      </c>
      <c r="T2917">
        <f>IMAGE("https://mitra.stanford.edu/kundaje/oak/projects/neuro-variants/variant_position/credible/roussos_2024/variant_figures/roussos_2024.adolescence.Astrocyte/rs67906834_profile_position.png",4,220,900)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-0.0379998170599999</v>
      </c>
      <c r="G2918" t="n">
        <v>0.3367584741539848</v>
      </c>
      <c r="H2918" t="n">
        <v>0.0118454121223457</v>
      </c>
      <c r="I2918" t="n">
        <v>0.5475535244910196</v>
      </c>
      <c r="J2918" t="n">
        <v>0.0140618045871286</v>
      </c>
      <c r="K2918" t="n">
        <v>0.640886064616551</v>
      </c>
      <c r="L2918" t="b">
        <v>0</v>
      </c>
      <c r="M2918" t="b">
        <v>0</v>
      </c>
      <c r="N2918" t="inlineStr">
        <is>
          <t>ref</t>
        </is>
      </c>
      <c r="O2918" t="n">
        <v>45</v>
      </c>
      <c r="P2918" t="n">
        <v>0.00735</v>
      </c>
      <c r="Q2918" t="n">
        <v>95</v>
      </c>
      <c r="R2918" t="n">
        <v>0.02148</v>
      </c>
      <c r="S2918">
        <f>IMAGE("https://mitra.stanford.edu/kundaje/oak/projects/neuro-variants/variant_position/credible/roussos_2024/variant_figures/roussos_2024.adolescence.Astrocyte/rs73127069_count_position.png",4,220,900)</f>
        <v/>
      </c>
      <c r="T2918">
        <f>IMAGE("https://mitra.stanford.edu/kundaje/oak/projects/neuro-variants/variant_position/credible/roussos_2024/variant_figures/roussos_2024.adolescence.Astrocyte/rs73127069_profile_position.png",4,220,900)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0.1544261016</v>
      </c>
      <c r="G2919" t="n">
        <v>0.0365816693822152</v>
      </c>
      <c r="H2919" t="n">
        <v>0.0186736980327483</v>
      </c>
      <c r="I2919" t="n">
        <v>0.1741947759348568</v>
      </c>
      <c r="J2919" t="n">
        <v>0.0018433077174138</v>
      </c>
      <c r="K2919" t="n">
        <v>0.8734082688561455</v>
      </c>
      <c r="L2919" t="b">
        <v>0</v>
      </c>
      <c r="M2919" t="b">
        <v>0</v>
      </c>
      <c r="N2919" t="inlineStr">
        <is>
          <t>alt</t>
        </is>
      </c>
      <c r="O2919" t="n">
        <v>5</v>
      </c>
      <c r="P2919" t="n">
        <v>0.00253</v>
      </c>
      <c r="Q2919" t="n">
        <v>-80</v>
      </c>
      <c r="R2919" t="n">
        <v>0.05835</v>
      </c>
      <c r="S2919">
        <f>IMAGE("https://mitra.stanford.edu/kundaje/oak/projects/neuro-variants/variant_position/credible/roussos_2024/variant_figures/roussos_2024.adolescence.Astrocyte/rs67509867_count_position.png",4,220,900)</f>
        <v/>
      </c>
      <c r="T2919">
        <f>IMAGE("https://mitra.stanford.edu/kundaje/oak/projects/neuro-variants/variant_position/credible/roussos_2024/variant_figures/roussos_2024.adolescence.Astrocyte/rs67509867_profile_position.png",4,220,900)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0.2207877179999999</v>
      </c>
      <c r="G2920" t="n">
        <v>0.0145430123054377</v>
      </c>
      <c r="H2920" t="n">
        <v>0.0265549390419659</v>
      </c>
      <c r="I2920" t="n">
        <v>0.0519450164775413</v>
      </c>
      <c r="J2920" t="n">
        <v>0.0026221701332225</v>
      </c>
      <c r="K2920" t="n">
        <v>0.8228867815163876</v>
      </c>
      <c r="L2920" t="b">
        <v>1</v>
      </c>
      <c r="M2920" t="b">
        <v>0</v>
      </c>
      <c r="N2920" t="inlineStr">
        <is>
          <t>alt</t>
        </is>
      </c>
      <c r="O2920" t="n">
        <v>-95</v>
      </c>
      <c r="P2920" t="n">
        <v>0.008125</v>
      </c>
      <c r="Q2920" t="n">
        <v>100</v>
      </c>
      <c r="R2920" t="n">
        <v>0.04285</v>
      </c>
      <c r="S2920">
        <f>IMAGE("https://mitra.stanford.edu/kundaje/oak/projects/neuro-variants/variant_position/credible/roussos_2024/variant_figures/roussos_2024.adolescence.Astrocyte/rs10019596_count_position.png",4,220,900)</f>
        <v/>
      </c>
      <c r="T2920">
        <f>IMAGE("https://mitra.stanford.edu/kundaje/oak/projects/neuro-variants/variant_position/credible/roussos_2024/variant_figures/roussos_2024.adolescence.Astrocyte/rs10019596_profile_position.png",4,220,900)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0.3050840579999999</v>
      </c>
      <c r="G2921" t="n">
        <v>0.0066158964255461</v>
      </c>
      <c r="H2921" t="n">
        <v>0.0895093752005488</v>
      </c>
      <c r="I2921" t="n">
        <v>0.0005894364260553</v>
      </c>
      <c r="J2921" t="n">
        <v>0.0136931430436459</v>
      </c>
      <c r="K2921" t="n">
        <v>0.6446279947102247</v>
      </c>
      <c r="L2921" t="b">
        <v>1</v>
      </c>
      <c r="M2921" t="b">
        <v>1</v>
      </c>
      <c r="N2921" t="inlineStr">
        <is>
          <t>alt</t>
        </is>
      </c>
      <c r="O2921" t="n">
        <v>20</v>
      </c>
      <c r="P2921" t="n">
        <v>0.00108</v>
      </c>
      <c r="Q2921" t="n">
        <v>-90</v>
      </c>
      <c r="R2921" t="n">
        <v>0.395</v>
      </c>
      <c r="S2921">
        <f>IMAGE("https://mitra.stanford.edu/kundaje/oak/projects/neuro-variants/variant_position/credible/roussos_2024/variant_figures/roussos_2024.adolescence.Astrocyte/rs13130383_count_position.png",4,220,900)</f>
        <v/>
      </c>
      <c r="T2921">
        <f>IMAGE("https://mitra.stanford.edu/kundaje/oak/projects/neuro-variants/variant_position/credible/roussos_2024/variant_figures/roussos_2024.adolescence.Astrocyte/rs13130383_profile_position.png",4,220,900)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-0.0114310838999999</v>
      </c>
      <c r="G2922" t="n">
        <v>0.72536487489006</v>
      </c>
      <c r="H2922" t="n">
        <v>0.042779451513464</v>
      </c>
      <c r="I2922" t="n">
        <v>0.0072374188516758</v>
      </c>
      <c r="J2922" t="n">
        <v>0.0002952259442779</v>
      </c>
      <c r="K2922" t="n">
        <v>0.9452367855832852</v>
      </c>
      <c r="L2922" t="b">
        <v>0</v>
      </c>
      <c r="M2922" t="b">
        <v>0</v>
      </c>
      <c r="N2922" t="inlineStr">
        <is>
          <t>ref</t>
        </is>
      </c>
      <c r="O2922" t="n">
        <v>100</v>
      </c>
      <c r="P2922" t="n">
        <v>0.2314</v>
      </c>
      <c r="Q2922" t="n">
        <v>70</v>
      </c>
      <c r="R2922" t="n">
        <v>0.2166</v>
      </c>
      <c r="S2922">
        <f>IMAGE("https://mitra.stanford.edu/kundaje/oak/projects/neuro-variants/variant_position/credible/roussos_2024/variant_figures/roussos_2024.adolescence.Astrocyte/rs34151233_count_position.png",4,220,900)</f>
        <v/>
      </c>
      <c r="T2922">
        <f>IMAGE("https://mitra.stanford.edu/kundaje/oak/projects/neuro-variants/variant_position/credible/roussos_2024/variant_figures/roussos_2024.adolescence.Astrocyte/rs34151233_profile_position.png",4,220,900)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-0.011785199868</v>
      </c>
      <c r="G2923" t="n">
        <v>0.7020509806080034</v>
      </c>
      <c r="H2923" t="n">
        <v>0.0231891149712972</v>
      </c>
      <c r="I2923" t="n">
        <v>0.0822718966150356</v>
      </c>
      <c r="J2923" t="n">
        <v>0.0001483547458683</v>
      </c>
      <c r="K2923" t="n">
        <v>0.9731423762926216</v>
      </c>
      <c r="L2923" t="b">
        <v>0</v>
      </c>
      <c r="M2923" t="b">
        <v>0</v>
      </c>
      <c r="N2923" t="inlineStr">
        <is>
          <t>ref</t>
        </is>
      </c>
      <c r="O2923" t="n">
        <v>40</v>
      </c>
      <c r="P2923" t="n">
        <v>0.00514</v>
      </c>
      <c r="Q2923" t="n">
        <v>-45</v>
      </c>
      <c r="R2923" t="n">
        <v>0.0886</v>
      </c>
      <c r="S2923">
        <f>IMAGE("https://mitra.stanford.edu/kundaje/oak/projects/neuro-variants/variant_position/credible/roussos_2024/variant_figures/roussos_2024.adolescence.Astrocyte/rs10025016_count_position.png",4,220,900)</f>
        <v/>
      </c>
      <c r="T2923">
        <f>IMAGE("https://mitra.stanford.edu/kundaje/oak/projects/neuro-variants/variant_position/credible/roussos_2024/variant_figures/roussos_2024.adolescence.Astrocyte/rs10025016_profile_position.png",4,220,900)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-0.07086963759999999</v>
      </c>
      <c r="G2924" t="n">
        <v>0.1609926553672701</v>
      </c>
      <c r="H2924" t="n">
        <v>0.0129751599155087</v>
      </c>
      <c r="I2924" t="n">
        <v>0.4637530885504405</v>
      </c>
      <c r="J2924" t="n">
        <v>0.0469409251401951</v>
      </c>
      <c r="K2924" t="n">
        <v>0.4747031061126201</v>
      </c>
      <c r="L2924" t="b">
        <v>0</v>
      </c>
      <c r="M2924" t="b">
        <v>0</v>
      </c>
      <c r="N2924" t="inlineStr">
        <is>
          <t>ref</t>
        </is>
      </c>
      <c r="O2924" t="n">
        <v>85</v>
      </c>
      <c r="P2924" t="n">
        <v>0.000778</v>
      </c>
      <c r="Q2924" t="n">
        <v>35</v>
      </c>
      <c r="R2924" t="n">
        <v>0.149</v>
      </c>
      <c r="S2924">
        <f>IMAGE("https://mitra.stanford.edu/kundaje/oak/projects/neuro-variants/variant_position/credible/roussos_2024/variant_figures/roussos_2024.adolescence.Astrocyte/rs34365744_count_position.png",4,220,900)</f>
        <v/>
      </c>
      <c r="T2924">
        <f>IMAGE("https://mitra.stanford.edu/kundaje/oak/projects/neuro-variants/variant_position/credible/roussos_2024/variant_figures/roussos_2024.adolescence.Astrocyte/rs34365744_profile_position.png",4,220,900)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0.221499374</v>
      </c>
      <c r="G2925" t="n">
        <v>0.0149258912800425</v>
      </c>
      <c r="H2925" t="n">
        <v>0.0336831790034516</v>
      </c>
      <c r="I2925" t="n">
        <v>0.0197787525307353</v>
      </c>
      <c r="J2925" t="n">
        <v>0.0224208527430792</v>
      </c>
      <c r="K2925" t="n">
        <v>0.5603790680452091</v>
      </c>
      <c r="L2925" t="b">
        <v>1</v>
      </c>
      <c r="M2925" t="b">
        <v>0</v>
      </c>
      <c r="N2925" t="inlineStr">
        <is>
          <t>alt</t>
        </is>
      </c>
      <c r="O2925" t="n">
        <v>75</v>
      </c>
      <c r="P2925" t="n">
        <v>0.005646</v>
      </c>
      <c r="Q2925" t="n">
        <v>80</v>
      </c>
      <c r="R2925" t="n">
        <v>0.11926</v>
      </c>
      <c r="S2925">
        <f>IMAGE("https://mitra.stanford.edu/kundaje/oak/projects/neuro-variants/variant_position/credible/roussos_2024/variant_figures/roussos_2024.adolescence.Astrocyte/rs4475134_count_position.png",4,220,900)</f>
        <v/>
      </c>
      <c r="T2925">
        <f>IMAGE("https://mitra.stanford.edu/kundaje/oak/projects/neuro-variants/variant_position/credible/roussos_2024/variant_figures/roussos_2024.adolescence.Astrocyte/rs4475134_profile_position.png",4,220,900)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-0.0050886685999999</v>
      </c>
      <c r="G2926" t="n">
        <v>0.7986043048279478</v>
      </c>
      <c r="H2926" t="n">
        <v>0.0174646856203739</v>
      </c>
      <c r="I2926" t="n">
        <v>0.2097572269056369</v>
      </c>
      <c r="J2926" t="n">
        <v>0.0505274011215618</v>
      </c>
      <c r="K2926" t="n">
        <v>0.4462665369438875</v>
      </c>
      <c r="L2926" t="b">
        <v>0</v>
      </c>
      <c r="M2926" t="b">
        <v>0</v>
      </c>
      <c r="N2926" t="inlineStr">
        <is>
          <t>ref</t>
        </is>
      </c>
      <c r="O2926" t="n">
        <v>-100</v>
      </c>
      <c r="P2926" t="n">
        <v>0.01816</v>
      </c>
      <c r="Q2926" t="n">
        <v>100</v>
      </c>
      <c r="R2926" t="n">
        <v>0.006226</v>
      </c>
      <c r="S2926">
        <f>IMAGE("https://mitra.stanford.edu/kundaje/oak/projects/neuro-variants/variant_position/credible/roussos_2024/variant_figures/roussos_2024.adolescence.Astrocyte/rs9992483_count_position.png",4,220,900)</f>
        <v/>
      </c>
      <c r="T2926">
        <f>IMAGE("https://mitra.stanford.edu/kundaje/oak/projects/neuro-variants/variant_position/credible/roussos_2024/variant_figures/roussos_2024.adolescence.Astrocyte/rs9992483_profile_position.png",4,220,900)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-0.233173258</v>
      </c>
      <c r="G2927" t="n">
        <v>0.0148181839420409</v>
      </c>
      <c r="H2927" t="n">
        <v>0.0299551225346828</v>
      </c>
      <c r="I2927" t="n">
        <v>0.033876943783558</v>
      </c>
      <c r="J2927" t="n">
        <v>0.0914621843752781</v>
      </c>
      <c r="K2927" t="n">
        <v>0.3550767437748754</v>
      </c>
      <c r="L2927" t="b">
        <v>1</v>
      </c>
      <c r="M2927" t="b">
        <v>0</v>
      </c>
      <c r="N2927" t="inlineStr">
        <is>
          <t>ref</t>
        </is>
      </c>
      <c r="O2927" t="n">
        <v>35</v>
      </c>
      <c r="P2927" t="n">
        <v>0.002441</v>
      </c>
      <c r="Q2927" t="n">
        <v>100</v>
      </c>
      <c r="R2927" t="n">
        <v>0.1096</v>
      </c>
      <c r="S2927">
        <f>IMAGE("https://mitra.stanford.edu/kundaje/oak/projects/neuro-variants/variant_position/credible/roussos_2024/variant_figures/roussos_2024.adolescence.Astrocyte/rs9995588_count_position.png",4,220,900)</f>
        <v/>
      </c>
      <c r="T2927">
        <f>IMAGE("https://mitra.stanford.edu/kundaje/oak/projects/neuro-variants/variant_position/credible/roussos_2024/variant_figures/roussos_2024.adolescence.Astrocyte/rs9995588_profile_position.png",4,220,900)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-0.155804712</v>
      </c>
      <c r="G2928" t="n">
        <v>0.0331972559211653</v>
      </c>
      <c r="H2928" t="n">
        <v>0.0168826745452529</v>
      </c>
      <c r="I2928" t="n">
        <v>0.2351495683425709</v>
      </c>
      <c r="J2928" t="n">
        <v>0.0066692876005103</v>
      </c>
      <c r="K2928" t="n">
        <v>0.721343142315817</v>
      </c>
      <c r="L2928" t="b">
        <v>0</v>
      </c>
      <c r="M2928" t="b">
        <v>0</v>
      </c>
      <c r="N2928" t="inlineStr">
        <is>
          <t>ref</t>
        </is>
      </c>
      <c r="O2928" t="n">
        <v>85</v>
      </c>
      <c r="P2928" t="n">
        <v>0.0929</v>
      </c>
      <c r="Q2928" t="n">
        <v>65</v>
      </c>
      <c r="R2928" t="n">
        <v>0.1287</v>
      </c>
      <c r="S2928">
        <f>IMAGE("https://mitra.stanford.edu/kundaje/oak/projects/neuro-variants/variant_position/credible/roussos_2024/variant_figures/roussos_2024.adolescence.Astrocyte/rs1596581_count_position.png",4,220,900)</f>
        <v/>
      </c>
      <c r="T2928">
        <f>IMAGE("https://mitra.stanford.edu/kundaje/oak/projects/neuro-variants/variant_position/credible/roussos_2024/variant_figures/roussos_2024.adolescence.Astrocyte/rs1596581_profile_position.png",4,220,900)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-0.218119474</v>
      </c>
      <c r="G2929" t="n">
        <v>0.0169939784645855</v>
      </c>
      <c r="H2929" t="n">
        <v>0.027104281179054</v>
      </c>
      <c r="I2929" t="n">
        <v>0.0483331610535981</v>
      </c>
      <c r="J2929" t="n">
        <v>0.0009576298845799</v>
      </c>
      <c r="K2929" t="n">
        <v>0.8823383001132319</v>
      </c>
      <c r="L2929" t="b">
        <v>1</v>
      </c>
      <c r="M2929" t="b">
        <v>0</v>
      </c>
      <c r="N2929" t="inlineStr">
        <is>
          <t>ref</t>
        </is>
      </c>
      <c r="O2929" t="n">
        <v>35</v>
      </c>
      <c r="P2929" t="n">
        <v>0.001312</v>
      </c>
      <c r="Q2929" t="n">
        <v>60</v>
      </c>
      <c r="R2929" t="n">
        <v>0.04858</v>
      </c>
      <c r="S2929">
        <f>IMAGE("https://mitra.stanford.edu/kundaje/oak/projects/neuro-variants/variant_position/credible/roussos_2024/variant_figures/roussos_2024.adolescence.Astrocyte/rs67655711_count_position.png",4,220,900)</f>
        <v/>
      </c>
      <c r="T2929">
        <f>IMAGE("https://mitra.stanford.edu/kundaje/oak/projects/neuro-variants/variant_position/credible/roussos_2024/variant_figures/roussos_2024.adolescence.Astrocyte/rs67655711_profile_position.png",4,220,900)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-0.0325513693999999</v>
      </c>
      <c r="G2930" t="n">
        <v>0.3804800080793035</v>
      </c>
      <c r="H2930" t="n">
        <v>0.022705646295034</v>
      </c>
      <c r="I2930" t="n">
        <v>0.08976238034189089</v>
      </c>
      <c r="J2930" t="n">
        <v>0.0005667151292169</v>
      </c>
      <c r="K2930" t="n">
        <v>0.9162717961076634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0.006958</v>
      </c>
      <c r="Q2930" t="n">
        <v>-85</v>
      </c>
      <c r="R2930" t="n">
        <v>0.1503</v>
      </c>
      <c r="S2930">
        <f>IMAGE("https://mitra.stanford.edu/kundaje/oak/projects/neuro-variants/variant_position/credible/roussos_2024/variant_figures/roussos_2024.adolescence.Astrocyte/rs35304177_count_position.png",4,220,900)</f>
        <v/>
      </c>
      <c r="T2930">
        <f>IMAGE("https://mitra.stanford.edu/kundaje/oak/projects/neuro-variants/variant_position/credible/roussos_2024/variant_figures/roussos_2024.adolescence.Astrocyte/rs35304177_profile_position.png",4,220,900)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0.00097467848</v>
      </c>
      <c r="G2931" t="n">
        <v>0.8332775293802711</v>
      </c>
      <c r="H2931" t="n">
        <v>0.021548641441587</v>
      </c>
      <c r="I2931" t="n">
        <v>0.1079832273222715</v>
      </c>
      <c r="J2931" t="n">
        <v>0.0007388066344242</v>
      </c>
      <c r="K2931" t="n">
        <v>0.9165672976968304</v>
      </c>
      <c r="L2931" t="b">
        <v>0</v>
      </c>
      <c r="M2931" t="b">
        <v>0</v>
      </c>
      <c r="N2931" t="inlineStr">
        <is>
          <t>alt</t>
        </is>
      </c>
      <c r="O2931" t="n">
        <v>-85</v>
      </c>
      <c r="P2931" t="n">
        <v>0.008574999999999999</v>
      </c>
      <c r="Q2931" t="n">
        <v>-55</v>
      </c>
      <c r="R2931" t="n">
        <v>0.03333</v>
      </c>
      <c r="S2931">
        <f>IMAGE("https://mitra.stanford.edu/kundaje/oak/projects/neuro-variants/variant_position/credible/roussos_2024/variant_figures/roussos_2024.adolescence.Astrocyte/rs28530710_count_position.png",4,220,900)</f>
        <v/>
      </c>
      <c r="T2931">
        <f>IMAGE("https://mitra.stanford.edu/kundaje/oak/projects/neuro-variants/variant_position/credible/roussos_2024/variant_figures/roussos_2024.adolescence.Astrocyte/rs28530710_profile_position.png",4,220,900)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0.0334897564</v>
      </c>
      <c r="G2932" t="n">
        <v>0.3693490134512189</v>
      </c>
      <c r="H2932" t="n">
        <v>0.0112913935204793</v>
      </c>
      <c r="I2932" t="n">
        <v>0.6262208088351543</v>
      </c>
      <c r="J2932" t="n">
        <v>0.0028706643325519</v>
      </c>
      <c r="K2932" t="n">
        <v>0.8077038779825091</v>
      </c>
      <c r="L2932" t="b">
        <v>0</v>
      </c>
      <c r="M2932" t="b">
        <v>0</v>
      </c>
      <c r="N2932" t="inlineStr">
        <is>
          <t>alt</t>
        </is>
      </c>
      <c r="O2932" t="n">
        <v>55</v>
      </c>
      <c r="P2932" t="n">
        <v>0.009220000000000001</v>
      </c>
      <c r="Q2932" t="n">
        <v>35</v>
      </c>
      <c r="R2932" t="n">
        <v>0.042</v>
      </c>
      <c r="S2932">
        <f>IMAGE("https://mitra.stanford.edu/kundaje/oak/projects/neuro-variants/variant_position/credible/roussos_2024/variant_figures/roussos_2024.adolescence.Astrocyte/rs28801803_count_position.png",4,220,900)</f>
        <v/>
      </c>
      <c r="T2932">
        <f>IMAGE("https://mitra.stanford.edu/kundaje/oak/projects/neuro-variants/variant_position/credible/roussos_2024/variant_figures/roussos_2024.adolescence.Astrocyte/rs28801803_profile_position.png",4,220,900)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0.0083205504</v>
      </c>
      <c r="G2933" t="n">
        <v>0.5519290232553443</v>
      </c>
      <c r="H2933" t="n">
        <v>0.0101202080528135</v>
      </c>
      <c r="I2933" t="n">
        <v>0.7351929432887225</v>
      </c>
      <c r="J2933" t="n">
        <v>0.0002551701628934</v>
      </c>
      <c r="K2933" t="n">
        <v>0.9536542165201408</v>
      </c>
      <c r="L2933" t="b">
        <v>0</v>
      </c>
      <c r="M2933" t="b">
        <v>0</v>
      </c>
      <c r="N2933" t="inlineStr">
        <is>
          <t>alt</t>
        </is>
      </c>
      <c r="O2933" t="n">
        <v>100</v>
      </c>
      <c r="P2933" t="n">
        <v>0.004887</v>
      </c>
      <c r="Q2933" t="n">
        <v>100</v>
      </c>
      <c r="R2933" t="n">
        <v>0.2295</v>
      </c>
      <c r="S2933">
        <f>IMAGE("https://mitra.stanford.edu/kundaje/oak/projects/neuro-variants/variant_position/credible/roussos_2024/variant_figures/roussos_2024.adolescence.Astrocyte/rs28780405_count_position.png",4,220,900)</f>
        <v/>
      </c>
      <c r="T2933">
        <f>IMAGE("https://mitra.stanford.edu/kundaje/oak/projects/neuro-variants/variant_position/credible/roussos_2024/variant_figures/roussos_2024.adolescence.Astrocyte/rs28780405_profile_position.png",4,220,900)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-0.010172665</v>
      </c>
      <c r="G2934" t="n">
        <v>0.6844270008707635</v>
      </c>
      <c r="H2934" t="n">
        <v>0.009309522249713299</v>
      </c>
      <c r="I2934" t="n">
        <v>0.8236084415201758</v>
      </c>
      <c r="J2934" t="n">
        <v>0.0001646737679138</v>
      </c>
      <c r="K2934" t="n">
        <v>0.9692281473867208</v>
      </c>
      <c r="L2934" t="b">
        <v>0</v>
      </c>
      <c r="M2934" t="b">
        <v>0</v>
      </c>
      <c r="N2934" t="inlineStr">
        <is>
          <t>ref</t>
        </is>
      </c>
      <c r="O2934" t="n">
        <v>100</v>
      </c>
      <c r="P2934" t="n">
        <v>0.00668</v>
      </c>
      <c r="Q2934" t="n">
        <v>90</v>
      </c>
      <c r="R2934" t="n">
        <v>0.06809999999999999</v>
      </c>
      <c r="S2934">
        <f>IMAGE("https://mitra.stanford.edu/kundaje/oak/projects/neuro-variants/variant_position/credible/roussos_2024/variant_figures/roussos_2024.adolescence.Astrocyte/rs61139508_count_position.png",4,220,900)</f>
        <v/>
      </c>
      <c r="T2934">
        <f>IMAGE("https://mitra.stanford.edu/kundaje/oak/projects/neuro-variants/variant_position/credible/roussos_2024/variant_figures/roussos_2024.adolescence.Astrocyte/rs61139508_profile_position.png",4,220,900)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-0.02172098934</v>
      </c>
      <c r="G2935" t="n">
        <v>0.509333195797123</v>
      </c>
      <c r="H2935" t="n">
        <v>0.0112161836702684</v>
      </c>
      <c r="I2935" t="n">
        <v>0.6275988749359224</v>
      </c>
      <c r="J2935" t="n">
        <v>0.0002388511408479</v>
      </c>
      <c r="K2935" t="n">
        <v>0.957693480457252</v>
      </c>
      <c r="L2935" t="b">
        <v>0</v>
      </c>
      <c r="M2935" t="b">
        <v>0</v>
      </c>
      <c r="N2935" t="inlineStr">
        <is>
          <t>ref</t>
        </is>
      </c>
      <c r="O2935" t="n">
        <v>5</v>
      </c>
      <c r="P2935" t="n">
        <v>0.0003223</v>
      </c>
      <c r="Q2935" t="n">
        <v>95</v>
      </c>
      <c r="R2935" t="n">
        <v>0.08450000000000001</v>
      </c>
      <c r="S2935">
        <f>IMAGE("https://mitra.stanford.edu/kundaje/oak/projects/neuro-variants/variant_position/credible/roussos_2024/variant_figures/roussos_2024.adolescence.Astrocyte/rs10017591_count_position.png",4,220,900)</f>
        <v/>
      </c>
      <c r="T2935">
        <f>IMAGE("https://mitra.stanford.edu/kundaje/oak/projects/neuro-variants/variant_position/credible/roussos_2024/variant_figures/roussos_2024.adolescence.Astrocyte/rs10017591_profile_position.png",4,220,900)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0.2094727639999999</v>
      </c>
      <c r="G2936" t="n">
        <v>0.0160769248892699</v>
      </c>
      <c r="H2936" t="n">
        <v>0.0299950161286922</v>
      </c>
      <c r="I2936" t="n">
        <v>0.0323493050176112</v>
      </c>
      <c r="J2936" t="n">
        <v>0.0516393199418449</v>
      </c>
      <c r="K2936" t="n">
        <v>0.4421463599041378</v>
      </c>
      <c r="L2936" t="b">
        <v>1</v>
      </c>
      <c r="M2936" t="b">
        <v>0</v>
      </c>
      <c r="N2936" t="inlineStr">
        <is>
          <t>alt</t>
        </is>
      </c>
      <c r="O2936" t="n">
        <v>95</v>
      </c>
      <c r="P2936" t="n">
        <v>0.002842</v>
      </c>
      <c r="Q2936" t="n">
        <v>-20</v>
      </c>
      <c r="R2936" t="n">
        <v>0.03833</v>
      </c>
      <c r="S2936">
        <f>IMAGE("https://mitra.stanford.edu/kundaje/oak/projects/neuro-variants/variant_position/credible/roussos_2024/variant_figures/roussos_2024.adolescence.Astrocyte/rs28764846_count_position.png",4,220,900)</f>
        <v/>
      </c>
      <c r="T2936">
        <f>IMAGE("https://mitra.stanford.edu/kundaje/oak/projects/neuro-variants/variant_position/credible/roussos_2024/variant_figures/roussos_2024.adolescence.Astrocyte/rs28764846_profile_position.png",4,220,900)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0.02661371548</v>
      </c>
      <c r="G2937" t="n">
        <v>0.4494083235162107</v>
      </c>
      <c r="H2937" t="n">
        <v>0.0269724887330187</v>
      </c>
      <c r="I2937" t="n">
        <v>0.0472032073673426</v>
      </c>
      <c r="J2937" t="n">
        <v>0.0014234637866064</v>
      </c>
      <c r="K2937" t="n">
        <v>0.8526822617216017</v>
      </c>
      <c r="L2937" t="b">
        <v>0</v>
      </c>
      <c r="M2937" t="b">
        <v>0</v>
      </c>
      <c r="N2937" t="inlineStr">
        <is>
          <t>alt</t>
        </is>
      </c>
      <c r="O2937" t="n">
        <v>-60</v>
      </c>
      <c r="P2937" t="n">
        <v>0.002563</v>
      </c>
      <c r="Q2937" t="n">
        <v>15</v>
      </c>
      <c r="R2937" t="n">
        <v>0.02484</v>
      </c>
      <c r="S2937">
        <f>IMAGE("https://mitra.stanford.edu/kundaje/oak/projects/neuro-variants/variant_position/credible/roussos_2024/variant_figures/roussos_2024.adolescence.Astrocyte/rs9996627_count_position.png",4,220,900)</f>
        <v/>
      </c>
      <c r="T2937">
        <f>IMAGE("https://mitra.stanford.edu/kundaje/oak/projects/neuro-variants/variant_position/credible/roussos_2024/variant_figures/roussos_2024.adolescence.Astrocyte/rs9996627_profile_position.png",4,220,900)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0.0005500813399999</v>
      </c>
      <c r="G2938" t="n">
        <v>0.8361546819690369</v>
      </c>
      <c r="H2938" t="n">
        <v>0.0114845694956357</v>
      </c>
      <c r="I2938" t="n">
        <v>0.6086871385933856</v>
      </c>
      <c r="J2938" t="n">
        <v>0.0334933092009613</v>
      </c>
      <c r="K2938" t="n">
        <v>0.5025500573234821</v>
      </c>
      <c r="L2938" t="b">
        <v>0</v>
      </c>
      <c r="M2938" t="b">
        <v>0</v>
      </c>
      <c r="N2938" t="inlineStr">
        <is>
          <t>alt</t>
        </is>
      </c>
      <c r="O2938" t="n">
        <v>-65</v>
      </c>
      <c r="P2938" t="n">
        <v>0.01133</v>
      </c>
      <c r="Q2938" t="n">
        <v>90</v>
      </c>
      <c r="R2938" t="n">
        <v>0.0654</v>
      </c>
      <c r="S2938">
        <f>IMAGE("https://mitra.stanford.edu/kundaje/oak/projects/neuro-variants/variant_position/credible/roussos_2024/variant_figures/roussos_2024.adolescence.Astrocyte/rs7674046_count_position.png",4,220,900)</f>
        <v/>
      </c>
      <c r="T2938">
        <f>IMAGE("https://mitra.stanford.edu/kundaje/oak/projects/neuro-variants/variant_position/credible/roussos_2024/variant_figures/roussos_2024.adolescence.Astrocyte/rs7674046_profile_position.png",4,220,900)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0.072389324</v>
      </c>
      <c r="G2939" t="n">
        <v>0.1327975703531567</v>
      </c>
      <c r="H2939" t="n">
        <v>0.0136218661511408</v>
      </c>
      <c r="I2939" t="n">
        <v>0.4151004484799218</v>
      </c>
      <c r="J2939" t="n">
        <v>5.044061359522891e-05</v>
      </c>
      <c r="K2939" t="n">
        <v>0.9936135367629216</v>
      </c>
      <c r="L2939" t="b">
        <v>0</v>
      </c>
      <c r="M2939" t="b">
        <v>0</v>
      </c>
      <c r="N2939" t="inlineStr">
        <is>
          <t>alt</t>
        </is>
      </c>
      <c r="O2939" t="n">
        <v>-90</v>
      </c>
      <c r="P2939" t="n">
        <v>0.003143</v>
      </c>
      <c r="Q2939" t="n">
        <v>85</v>
      </c>
      <c r="R2939" t="n">
        <v>0.11334</v>
      </c>
      <c r="S2939">
        <f>IMAGE("https://mitra.stanford.edu/kundaje/oak/projects/neuro-variants/variant_position/credible/roussos_2024/variant_figures/roussos_2024.adolescence.Astrocyte/rs13113238_count_position.png",4,220,900)</f>
        <v/>
      </c>
      <c r="T2939">
        <f>IMAGE("https://mitra.stanford.edu/kundaje/oak/projects/neuro-variants/variant_position/credible/roussos_2024/variant_figures/roussos_2024.adolescence.Astrocyte/rs13113238_profile_position.png",4,220,900)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0.2081741791999999</v>
      </c>
      <c r="G2940" t="n">
        <v>0.0185923738380097</v>
      </c>
      <c r="H2940" t="n">
        <v>0.0394774653979527</v>
      </c>
      <c r="I2940" t="n">
        <v>0.0108306034264174</v>
      </c>
      <c r="J2940" t="n">
        <v>0.0001676408628311</v>
      </c>
      <c r="K2940" t="n">
        <v>0.9639045242468705</v>
      </c>
      <c r="L2940" t="b">
        <v>1</v>
      </c>
      <c r="M2940" t="b">
        <v>0</v>
      </c>
      <c r="N2940" t="inlineStr">
        <is>
          <t>alt</t>
        </is>
      </c>
      <c r="O2940" t="n">
        <v>-70</v>
      </c>
      <c r="P2940" t="n">
        <v>0.004967</v>
      </c>
      <c r="Q2940" t="n">
        <v>-75</v>
      </c>
      <c r="R2940" t="n">
        <v>0.06569999999999999</v>
      </c>
      <c r="S2940">
        <f>IMAGE("https://mitra.stanford.edu/kundaje/oak/projects/neuro-variants/variant_position/credible/roussos_2024/variant_figures/roussos_2024.adolescence.Astrocyte/rs7693464_count_position.png",4,220,900)</f>
        <v/>
      </c>
      <c r="T2940">
        <f>IMAGE("https://mitra.stanford.edu/kundaje/oak/projects/neuro-variants/variant_position/credible/roussos_2024/variant_figures/roussos_2024.adolescence.Astrocyte/rs7693464_profile_position.png",4,220,900)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-0.0447868096</v>
      </c>
      <c r="G2941" t="n">
        <v>0.2289878392178832</v>
      </c>
      <c r="H2941" t="n">
        <v>0.0169792309961155</v>
      </c>
      <c r="I2941" t="n">
        <v>0.2295121979299866</v>
      </c>
      <c r="J2941" t="n">
        <v>0.2302947808800403</v>
      </c>
      <c r="K2941" t="n">
        <v>0.1773019435712952</v>
      </c>
      <c r="L2941" t="b">
        <v>0</v>
      </c>
      <c r="M2941" t="b">
        <v>0</v>
      </c>
      <c r="N2941" t="inlineStr">
        <is>
          <t>ref</t>
        </is>
      </c>
      <c r="O2941" t="n">
        <v>100</v>
      </c>
      <c r="P2941" t="n">
        <v>0.03534</v>
      </c>
      <c r="Q2941" t="n">
        <v>60</v>
      </c>
      <c r="R2941" t="n">
        <v>0.1396</v>
      </c>
      <c r="S2941">
        <f>IMAGE("https://mitra.stanford.edu/kundaje/oak/projects/neuro-variants/variant_position/credible/roussos_2024/variant_figures/roussos_2024.adolescence.Astrocyte/rs1373494_count_position.png",4,220,900)</f>
        <v/>
      </c>
      <c r="T2941">
        <f>IMAGE("https://mitra.stanford.edu/kundaje/oak/projects/neuro-variants/variant_position/credible/roussos_2024/variant_figures/roussos_2024.adolescence.Astrocyte/rs1373494_profile_position.png",4,220,900)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0.03707623062</v>
      </c>
      <c r="G2942" t="n">
        <v>0.3626045387737739</v>
      </c>
      <c r="H2942" t="n">
        <v>0.0244173394639136</v>
      </c>
      <c r="I2942" t="n">
        <v>0.06837745042838859</v>
      </c>
      <c r="J2942" t="n">
        <v>0.0018677862504821</v>
      </c>
      <c r="K2942" t="n">
        <v>0.8240486474308311</v>
      </c>
      <c r="L2942" t="b">
        <v>0</v>
      </c>
      <c r="M2942" t="b">
        <v>0</v>
      </c>
      <c r="N2942" t="inlineStr">
        <is>
          <t>alt</t>
        </is>
      </c>
      <c r="O2942" t="n">
        <v>-5</v>
      </c>
      <c r="P2942" t="n">
        <v>0.0004044</v>
      </c>
      <c r="Q2942" t="n">
        <v>40</v>
      </c>
      <c r="R2942" t="n">
        <v>0.0563</v>
      </c>
      <c r="S2942">
        <f>IMAGE("https://mitra.stanford.edu/kundaje/oak/projects/neuro-variants/variant_position/credible/roussos_2024/variant_figures/roussos_2024.adolescence.Astrocyte/rs1822683_count_position.png",4,220,900)</f>
        <v/>
      </c>
      <c r="T2942">
        <f>IMAGE("https://mitra.stanford.edu/kundaje/oak/projects/neuro-variants/variant_position/credible/roussos_2024/variant_figures/roussos_2024.adolescence.Astrocyte/rs1822683_profile_position.png",4,220,900)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-0.383649772</v>
      </c>
      <c r="G2943" t="n">
        <v>0.0031596326488361</v>
      </c>
      <c r="H2943" t="n">
        <v>0.0542240042112406</v>
      </c>
      <c r="I2943" t="n">
        <v>0.0028767455250827</v>
      </c>
      <c r="J2943" t="n">
        <v>0.0426571818532474</v>
      </c>
      <c r="K2943" t="n">
        <v>0.4601704650347503</v>
      </c>
      <c r="L2943" t="b">
        <v>1</v>
      </c>
      <c r="M2943" t="b">
        <v>1</v>
      </c>
      <c r="N2943" t="inlineStr">
        <is>
          <t>ref</t>
        </is>
      </c>
      <c r="O2943" t="n">
        <v>-85</v>
      </c>
      <c r="P2943" t="n">
        <v>0.02487</v>
      </c>
      <c r="Q2943" t="n">
        <v>-45</v>
      </c>
      <c r="R2943" t="n">
        <v>0.0679</v>
      </c>
      <c r="S2943">
        <f>IMAGE("https://mitra.stanford.edu/kundaje/oak/projects/neuro-variants/variant_position/credible/roussos_2024/variant_figures/roussos_2024.adolescence.Astrocyte/rs3863828_count_position.png",4,220,900)</f>
        <v/>
      </c>
      <c r="T2943">
        <f>IMAGE("https://mitra.stanford.edu/kundaje/oak/projects/neuro-variants/variant_position/credible/roussos_2024/variant_figures/roussos_2024.adolescence.Astrocyte/rs3863828_profile_position.png",4,220,900)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0.035624357</v>
      </c>
      <c r="G2944" t="n">
        <v>0.3344899329542442</v>
      </c>
      <c r="H2944" t="n">
        <v>0.0183379980334783</v>
      </c>
      <c r="I2944" t="n">
        <v>0.1804490809006997</v>
      </c>
      <c r="J2944" t="n">
        <v>5.563302970062013e-05</v>
      </c>
      <c r="K2944" t="n">
        <v>0.9914401029760932</v>
      </c>
      <c r="L2944" t="b">
        <v>0</v>
      </c>
      <c r="M2944" t="b">
        <v>0</v>
      </c>
      <c r="N2944" t="inlineStr">
        <is>
          <t>alt</t>
        </is>
      </c>
      <c r="O2944" t="n">
        <v>10</v>
      </c>
      <c r="P2944" t="n">
        <v>0.001617</v>
      </c>
      <c r="Q2944" t="n">
        <v>100</v>
      </c>
      <c r="R2944" t="n">
        <v>0.04462</v>
      </c>
      <c r="S2944">
        <f>IMAGE("https://mitra.stanford.edu/kundaje/oak/projects/neuro-variants/variant_position/credible/roussos_2024/variant_figures/roussos_2024.adolescence.Astrocyte/rs28538874_count_position.png",4,220,900)</f>
        <v/>
      </c>
      <c r="T2944">
        <f>IMAGE("https://mitra.stanford.edu/kundaje/oak/projects/neuro-variants/variant_position/credible/roussos_2024/variant_figures/roussos_2024.adolescence.Astrocyte/rs28538874_profile_position.png",4,220,900)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0.0205632186</v>
      </c>
      <c r="G2945" t="n">
        <v>0.5189154153912322</v>
      </c>
      <c r="H2945" t="n">
        <v>0.0281951478072457</v>
      </c>
      <c r="I2945" t="n">
        <v>0.0399972345253864</v>
      </c>
      <c r="J2945" t="n">
        <v>0.0010459009583716</v>
      </c>
      <c r="K2945" t="n">
        <v>0.878010417857939</v>
      </c>
      <c r="L2945" t="b">
        <v>0</v>
      </c>
      <c r="M2945" t="b">
        <v>0</v>
      </c>
      <c r="N2945" t="inlineStr">
        <is>
          <t>alt</t>
        </is>
      </c>
      <c r="O2945" t="n">
        <v>-100</v>
      </c>
      <c r="P2945" t="n">
        <v>0.01869</v>
      </c>
      <c r="Q2945" t="n">
        <v>-25</v>
      </c>
      <c r="R2945" t="n">
        <v>0.07935</v>
      </c>
      <c r="S2945">
        <f>IMAGE("https://mitra.stanford.edu/kundaje/oak/projects/neuro-variants/variant_position/credible/roussos_2024/variant_figures/roussos_2024.adolescence.Astrocyte/rs66770627_count_position.png",4,220,900)</f>
        <v/>
      </c>
      <c r="T2945">
        <f>IMAGE("https://mitra.stanford.edu/kundaje/oak/projects/neuro-variants/variant_position/credible/roussos_2024/variant_figures/roussos_2024.adolescence.Astrocyte/rs66770627_profile_position.png",4,220,900)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-0.0587949741999999</v>
      </c>
      <c r="G2946" t="n">
        <v>0.2048418490108854</v>
      </c>
      <c r="H2946" t="n">
        <v>0.0124480014447384</v>
      </c>
      <c r="I2946" t="n">
        <v>0.5188760378754254</v>
      </c>
      <c r="J2946" t="n">
        <v>8.45622051449329e-05</v>
      </c>
      <c r="K2946" t="n">
        <v>0.982643510105062</v>
      </c>
      <c r="L2946" t="b">
        <v>0</v>
      </c>
      <c r="M2946" t="b">
        <v>0</v>
      </c>
      <c r="N2946" t="inlineStr">
        <is>
          <t>ref</t>
        </is>
      </c>
      <c r="O2946" t="n">
        <v>20</v>
      </c>
      <c r="P2946" t="n">
        <v>0.00119</v>
      </c>
      <c r="Q2946" t="n">
        <v>45</v>
      </c>
      <c r="R2946" t="n">
        <v>0.03192</v>
      </c>
      <c r="S2946">
        <f>IMAGE("https://mitra.stanford.edu/kundaje/oak/projects/neuro-variants/variant_position/credible/roussos_2024/variant_figures/roussos_2024.adolescence.Astrocyte/rs6832462_count_position.png",4,220,900)</f>
        <v/>
      </c>
      <c r="T2946">
        <f>IMAGE("https://mitra.stanford.edu/kundaje/oak/projects/neuro-variants/variant_position/credible/roussos_2024/variant_figures/roussos_2024.adolescence.Astrocyte/rs6832462_profile_position.png",4,220,900)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0.0127315039</v>
      </c>
      <c r="G2947" t="n">
        <v>0.6724892472972723</v>
      </c>
      <c r="H2947" t="n">
        <v>0.0205865753098579</v>
      </c>
      <c r="I2947" t="n">
        <v>0.1248888958944363</v>
      </c>
      <c r="J2947" t="n">
        <v>0.0136642138682015</v>
      </c>
      <c r="K2947" t="n">
        <v>0.6316945156688462</v>
      </c>
      <c r="L2947" t="b">
        <v>0</v>
      </c>
      <c r="M2947" t="b">
        <v>0</v>
      </c>
      <c r="N2947" t="inlineStr">
        <is>
          <t>alt</t>
        </is>
      </c>
      <c r="O2947" t="n">
        <v>-35</v>
      </c>
      <c r="P2947" t="n">
        <v>0.002518</v>
      </c>
      <c r="Q2947" t="n">
        <v>100</v>
      </c>
      <c r="R2947" t="n">
        <v>0.06097</v>
      </c>
      <c r="S2947">
        <f>IMAGE("https://mitra.stanford.edu/kundaje/oak/projects/neuro-variants/variant_position/credible/roussos_2024/variant_figures/roussos_2024.adolescence.Astrocyte/rs59554896_count_position.png",4,220,900)</f>
        <v/>
      </c>
      <c r="T2947">
        <f>IMAGE("https://mitra.stanford.edu/kundaje/oak/projects/neuro-variants/variant_position/credible/roussos_2024/variant_figures/roussos_2024.adolescence.Astrocyte/rs59554896_profile_position.png",4,220,900)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-0.07669145600000001</v>
      </c>
      <c r="G2948" t="n">
        <v>0.07808651585945491</v>
      </c>
      <c r="H2948" t="n">
        <v>0.0283955305360678</v>
      </c>
      <c r="I2948" t="n">
        <v>0.0389351226950758</v>
      </c>
      <c r="J2948" t="n">
        <v>0.0063933477731952</v>
      </c>
      <c r="K2948" t="n">
        <v>0.7399646055333884</v>
      </c>
      <c r="L2948" t="b">
        <v>0</v>
      </c>
      <c r="M2948" t="b">
        <v>0</v>
      </c>
      <c r="N2948" t="inlineStr">
        <is>
          <t>ref</t>
        </is>
      </c>
      <c r="O2948" t="n">
        <v>100</v>
      </c>
      <c r="P2948" t="n">
        <v>0.002869</v>
      </c>
      <c r="Q2948" t="n">
        <v>100</v>
      </c>
      <c r="R2948" t="n">
        <v>0.2534</v>
      </c>
      <c r="S2948">
        <f>IMAGE("https://mitra.stanford.edu/kundaje/oak/projects/neuro-variants/variant_position/credible/roussos_2024/variant_figures/roussos_2024.adolescence.Astrocyte/rs67910708_count_position.png",4,220,900)</f>
        <v/>
      </c>
      <c r="T2948">
        <f>IMAGE("https://mitra.stanford.edu/kundaje/oak/projects/neuro-variants/variant_position/credible/roussos_2024/variant_figures/roussos_2024.adolescence.Astrocyte/rs67910708_profile_position.png",4,220,900)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-0.043350726</v>
      </c>
      <c r="G2949" t="n">
        <v>0.2908057034269189</v>
      </c>
      <c r="H2949" t="n">
        <v>0.0146058058017764</v>
      </c>
      <c r="I2949" t="n">
        <v>0.3448338362111618</v>
      </c>
      <c r="J2949" t="n">
        <v>0.0043838827404088</v>
      </c>
      <c r="K2949" t="n">
        <v>0.7646944358237543</v>
      </c>
      <c r="L2949" t="b">
        <v>0</v>
      </c>
      <c r="M2949" t="b">
        <v>0</v>
      </c>
      <c r="N2949" t="inlineStr">
        <is>
          <t>ref</t>
        </is>
      </c>
      <c r="O2949" t="n">
        <v>30</v>
      </c>
      <c r="P2949" t="n">
        <v>0.00561</v>
      </c>
      <c r="Q2949" t="n">
        <v>-75</v>
      </c>
      <c r="R2949" t="n">
        <v>0.06082</v>
      </c>
      <c r="S2949">
        <f>IMAGE("https://mitra.stanford.edu/kundaje/oak/projects/neuro-variants/variant_position/credible/roussos_2024/variant_figures/roussos_2024.adolescence.Astrocyte/rs58656292_count_position.png",4,220,900)</f>
        <v/>
      </c>
      <c r="T2949">
        <f>IMAGE("https://mitra.stanford.edu/kundaje/oak/projects/neuro-variants/variant_position/credible/roussos_2024/variant_figures/roussos_2024.adolescence.Astrocyte/rs58656292_profile_position.png",4,220,900)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-0.0577353636</v>
      </c>
      <c r="G2950" t="n">
        <v>0.1943565017411336</v>
      </c>
      <c r="H2950" t="n">
        <v>0.0120758785001454</v>
      </c>
      <c r="I2950" t="n">
        <v>0.537408954206384</v>
      </c>
      <c r="J2950" t="n">
        <v>0.0256267988012936</v>
      </c>
      <c r="K2950" t="n">
        <v>0.5345882160282419</v>
      </c>
      <c r="L2950" t="b">
        <v>0</v>
      </c>
      <c r="M2950" t="b">
        <v>0</v>
      </c>
      <c r="N2950" t="inlineStr">
        <is>
          <t>ref</t>
        </is>
      </c>
      <c r="O2950" t="n">
        <v>-100</v>
      </c>
      <c r="P2950" t="n">
        <v>0.011024</v>
      </c>
      <c r="Q2950" t="n">
        <v>40</v>
      </c>
      <c r="R2950" t="n">
        <v>0.1517</v>
      </c>
      <c r="S2950">
        <f>IMAGE("https://mitra.stanford.edu/kundaje/oak/projects/neuro-variants/variant_position/credible/roussos_2024/variant_figures/roussos_2024.adolescence.Astrocyte/rs13104973_count_position.png",4,220,900)</f>
        <v/>
      </c>
      <c r="T2950">
        <f>IMAGE("https://mitra.stanford.edu/kundaje/oak/projects/neuro-variants/variant_position/credible/roussos_2024/variant_figures/roussos_2024.adolescence.Astrocyte/rs13104973_profile_position.png",4,220,900)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0.1002933054</v>
      </c>
      <c r="G2951" t="n">
        <v>0.0763928071456956</v>
      </c>
      <c r="H2951" t="n">
        <v>0.0166534929289859</v>
      </c>
      <c r="I2951" t="n">
        <v>0.2414390321182218</v>
      </c>
      <c r="J2951" t="n">
        <v>0.0479497374120997</v>
      </c>
      <c r="K2951" t="n">
        <v>0.4408908239120122</v>
      </c>
      <c r="L2951" t="b">
        <v>0</v>
      </c>
      <c r="M2951" t="b">
        <v>0</v>
      </c>
      <c r="N2951" t="inlineStr">
        <is>
          <t>alt</t>
        </is>
      </c>
      <c r="O2951" t="n">
        <v>-60</v>
      </c>
      <c r="P2951" t="n">
        <v>0.00586</v>
      </c>
      <c r="Q2951" t="n">
        <v>-25</v>
      </c>
      <c r="R2951" t="n">
        <v>0.0332</v>
      </c>
      <c r="S2951">
        <f>IMAGE("https://mitra.stanford.edu/kundaje/oak/projects/neuro-variants/variant_position/credible/roussos_2024/variant_figures/roussos_2024.adolescence.Astrocyte/rs3910837_count_position.png",4,220,900)</f>
        <v/>
      </c>
      <c r="T2951">
        <f>IMAGE("https://mitra.stanford.edu/kundaje/oak/projects/neuro-variants/variant_position/credible/roussos_2024/variant_figures/roussos_2024.adolescence.Astrocyte/rs3910837_profile_position.png",4,220,900)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0.0192107436</v>
      </c>
      <c r="G2952" t="n">
        <v>0.5503173652232873</v>
      </c>
      <c r="H2952" t="n">
        <v>0.0270637456434754</v>
      </c>
      <c r="I2952" t="n">
        <v>0.0469064204225743</v>
      </c>
      <c r="J2952" t="n">
        <v>0.0321492152033942</v>
      </c>
      <c r="K2952" t="n">
        <v>0.5315736168174577</v>
      </c>
      <c r="L2952" t="b">
        <v>0</v>
      </c>
      <c r="M2952" t="b">
        <v>0</v>
      </c>
      <c r="N2952" t="inlineStr">
        <is>
          <t>alt</t>
        </is>
      </c>
      <c r="O2952" t="n">
        <v>30</v>
      </c>
      <c r="P2952" t="n">
        <v>0.002909</v>
      </c>
      <c r="Q2952" t="n">
        <v>-30</v>
      </c>
      <c r="R2952" t="n">
        <v>0.02258</v>
      </c>
      <c r="S2952">
        <f>IMAGE("https://mitra.stanford.edu/kundaje/oak/projects/neuro-variants/variant_position/credible/roussos_2024/variant_figures/roussos_2024.adolescence.Astrocyte/rs7689692_count_position.png",4,220,900)</f>
        <v/>
      </c>
      <c r="T2952">
        <f>IMAGE("https://mitra.stanford.edu/kundaje/oak/projects/neuro-variants/variant_position/credible/roussos_2024/variant_figures/roussos_2024.adolescence.Astrocyte/rs7689692_profile_position.png",4,220,900)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0.0515594198</v>
      </c>
      <c r="G2953" t="n">
        <v>0.2165389625305967</v>
      </c>
      <c r="H2953" t="n">
        <v>0.0102139215725494</v>
      </c>
      <c r="I2953" t="n">
        <v>0.7405597931700688</v>
      </c>
      <c r="J2953" t="n">
        <v>0.0114997181259828</v>
      </c>
      <c r="K2953" t="n">
        <v>0.6460605842384982</v>
      </c>
      <c r="L2953" t="b">
        <v>0</v>
      </c>
      <c r="M2953" t="b">
        <v>0</v>
      </c>
      <c r="N2953" t="inlineStr">
        <is>
          <t>alt</t>
        </is>
      </c>
      <c r="O2953" t="n">
        <v>-95</v>
      </c>
      <c r="P2953" t="n">
        <v>0.02942</v>
      </c>
      <c r="Q2953" t="n">
        <v>-35</v>
      </c>
      <c r="R2953" t="n">
        <v>0.0742</v>
      </c>
      <c r="S2953">
        <f>IMAGE("https://mitra.stanford.edu/kundaje/oak/projects/neuro-variants/variant_position/credible/roussos_2024/variant_figures/roussos_2024.adolescence.Astrocyte/rs10008587_count_position.png",4,220,900)</f>
        <v/>
      </c>
      <c r="T2953">
        <f>IMAGE("https://mitra.stanford.edu/kundaje/oak/projects/neuro-variants/variant_position/credible/roussos_2024/variant_figures/roussos_2024.adolescence.Astrocyte/rs10008587_profile_position.png",4,220,900)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-0.01200352504</v>
      </c>
      <c r="G2954" t="n">
        <v>0.7167222827937297</v>
      </c>
      <c r="H2954" t="n">
        <v>0.0253017668193273</v>
      </c>
      <c r="I2954" t="n">
        <v>0.0604633957165402</v>
      </c>
      <c r="J2954" t="n">
        <v>0.0195895024181823</v>
      </c>
      <c r="K2954" t="n">
        <v>0.5788429045665641</v>
      </c>
      <c r="L2954" t="b">
        <v>0</v>
      </c>
      <c r="M2954" t="b">
        <v>0</v>
      </c>
      <c r="N2954" t="inlineStr">
        <is>
          <t>ref</t>
        </is>
      </c>
      <c r="O2954" t="n">
        <v>100</v>
      </c>
      <c r="P2954" t="n">
        <v>0.0333</v>
      </c>
      <c r="Q2954" t="n">
        <v>100</v>
      </c>
      <c r="R2954" t="n">
        <v>0.4434</v>
      </c>
      <c r="S2954">
        <f>IMAGE("https://mitra.stanford.edu/kundaje/oak/projects/neuro-variants/variant_position/credible/roussos_2024/variant_figures/roussos_2024.adolescence.Astrocyte/rs12640723_count_position.png",4,220,900)</f>
        <v/>
      </c>
      <c r="T2954">
        <f>IMAGE("https://mitra.stanford.edu/kundaje/oak/projects/neuro-variants/variant_position/credible/roussos_2024/variant_figures/roussos_2024.adolescence.Astrocyte/rs12640723_profile_position.png",4,220,900)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-0.046074468</v>
      </c>
      <c r="G2955" t="n">
        <v>0.2699263799816577</v>
      </c>
      <c r="H2955" t="n">
        <v>0.0408033412964196</v>
      </c>
      <c r="I2955" t="n">
        <v>0.008853552016351501</v>
      </c>
      <c r="J2955" t="n">
        <v>0.0194114767231403</v>
      </c>
      <c r="K2955" t="n">
        <v>0.6073759614940366</v>
      </c>
      <c r="L2955" t="b">
        <v>1</v>
      </c>
      <c r="M2955" t="b">
        <v>0</v>
      </c>
      <c r="N2955" t="inlineStr">
        <is>
          <t>ref</t>
        </is>
      </c>
      <c r="O2955" t="n">
        <v>75</v>
      </c>
      <c r="P2955" t="n">
        <v>0.011894</v>
      </c>
      <c r="Q2955" t="n">
        <v>-100</v>
      </c>
      <c r="R2955" t="n">
        <v>0.1236</v>
      </c>
      <c r="S2955">
        <f>IMAGE("https://mitra.stanford.edu/kundaje/oak/projects/neuro-variants/variant_position/credible/roussos_2024/variant_figures/roussos_2024.adolescence.Astrocyte/rs7683507_count_position.png",4,220,900)</f>
        <v/>
      </c>
      <c r="T2955">
        <f>IMAGE("https://mitra.stanford.edu/kundaje/oak/projects/neuro-variants/variant_position/credible/roussos_2024/variant_figures/roussos_2024.adolescence.Astrocyte/rs7683507_profile_position.png",4,220,900)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0.00981210226</v>
      </c>
      <c r="G2956" t="n">
        <v>0.7006293774026321</v>
      </c>
      <c r="H2956" t="n">
        <v>0.0266467849441997</v>
      </c>
      <c r="I2956" t="n">
        <v>0.0507034223034793</v>
      </c>
      <c r="J2956" t="n">
        <v>0.0005236922529151</v>
      </c>
      <c r="K2956" t="n">
        <v>0.9162772451798896</v>
      </c>
      <c r="L2956" t="b">
        <v>0</v>
      </c>
      <c r="M2956" t="b">
        <v>0</v>
      </c>
      <c r="N2956" t="inlineStr">
        <is>
          <t>alt</t>
        </is>
      </c>
      <c r="O2956" t="n">
        <v>-100</v>
      </c>
      <c r="P2956" t="n">
        <v>0.011505</v>
      </c>
      <c r="Q2956" t="n">
        <v>15</v>
      </c>
      <c r="R2956" t="n">
        <v>0.02777</v>
      </c>
      <c r="S2956">
        <f>IMAGE("https://mitra.stanford.edu/kundaje/oak/projects/neuro-variants/variant_position/credible/roussos_2024/variant_figures/roussos_2024.adolescence.Astrocyte/rs28691127_count_position.png",4,220,900)</f>
        <v/>
      </c>
      <c r="T2956">
        <f>IMAGE("https://mitra.stanford.edu/kundaje/oak/projects/neuro-variants/variant_position/credible/roussos_2024/variant_figures/roussos_2024.adolescence.Astrocyte/rs28691127_profile_position.png",4,220,900)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-0.0391596586</v>
      </c>
      <c r="G2957" t="n">
        <v>0.2292823588262182</v>
      </c>
      <c r="H2957" t="n">
        <v>0.014303408756909</v>
      </c>
      <c r="I2957" t="n">
        <v>0.3754737732665175</v>
      </c>
      <c r="J2957" t="n">
        <v>0.0026466486662908</v>
      </c>
      <c r="K2957" t="n">
        <v>0.8063239564885847</v>
      </c>
      <c r="L2957" t="b">
        <v>0</v>
      </c>
      <c r="M2957" t="b">
        <v>0</v>
      </c>
      <c r="N2957" t="inlineStr">
        <is>
          <t>ref</t>
        </is>
      </c>
      <c r="O2957" t="n">
        <v>65</v>
      </c>
      <c r="P2957" t="n">
        <v>0.0134</v>
      </c>
      <c r="Q2957" t="n">
        <v>45</v>
      </c>
      <c r="R2957" t="n">
        <v>0.11633</v>
      </c>
      <c r="S2957">
        <f>IMAGE("https://mitra.stanford.edu/kundaje/oak/projects/neuro-variants/variant_position/credible/roussos_2024/variant_figures/roussos_2024.adolescence.Astrocyte/rs16989276_count_position.png",4,220,900)</f>
        <v/>
      </c>
      <c r="T2957">
        <f>IMAGE("https://mitra.stanford.edu/kundaje/oak/projects/neuro-variants/variant_position/credible/roussos_2024/variant_figures/roussos_2024.adolescence.Astrocyte/rs16989276_profile_position.png",4,220,900)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-0.21063301</v>
      </c>
      <c r="G2958" t="n">
        <v>0.01833503742821</v>
      </c>
      <c r="H2958" t="n">
        <v>0.0183601559516526</v>
      </c>
      <c r="I2958" t="n">
        <v>0.1851093520050913</v>
      </c>
      <c r="J2958" t="n">
        <v>0.0005318517639378</v>
      </c>
      <c r="K2958" t="n">
        <v>0.9438284017085043</v>
      </c>
      <c r="L2958" t="b">
        <v>1</v>
      </c>
      <c r="M2958" t="b">
        <v>0</v>
      </c>
      <c r="N2958" t="inlineStr">
        <is>
          <t>ref</t>
        </is>
      </c>
      <c r="O2958" t="n">
        <v>-60</v>
      </c>
      <c r="P2958" t="n">
        <v>0.004364</v>
      </c>
      <c r="Q2958" t="n">
        <v>95</v>
      </c>
      <c r="R2958" t="n">
        <v>0.2483</v>
      </c>
      <c r="S2958">
        <f>IMAGE("https://mitra.stanford.edu/kundaje/oak/projects/neuro-variants/variant_position/credible/roussos_2024/variant_figures/roussos_2024.adolescence.Astrocyte/rs34920686_count_position.png",4,220,900)</f>
        <v/>
      </c>
      <c r="T2958">
        <f>IMAGE("https://mitra.stanford.edu/kundaje/oak/projects/neuro-variants/variant_position/credible/roussos_2024/variant_figures/roussos_2024.adolescence.Astrocyte/rs34920686_profile_position.png",4,220,900)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0.0232812462</v>
      </c>
      <c r="G2959" t="n">
        <v>0.5179398853321868</v>
      </c>
      <c r="H2959" t="n">
        <v>0.0125674903686392</v>
      </c>
      <c r="I2959" t="n">
        <v>0.5077622381629022</v>
      </c>
      <c r="J2959" t="n">
        <v>0.002553926950123</v>
      </c>
      <c r="K2959" t="n">
        <v>0.8030224413754949</v>
      </c>
      <c r="L2959" t="b">
        <v>0</v>
      </c>
      <c r="M2959" t="b">
        <v>0</v>
      </c>
      <c r="N2959" t="inlineStr">
        <is>
          <t>alt</t>
        </is>
      </c>
      <c r="O2959" t="n">
        <v>5</v>
      </c>
      <c r="P2959" t="n">
        <v>0.0003242</v>
      </c>
      <c r="Q2959" t="n">
        <v>-100</v>
      </c>
      <c r="R2959" t="n">
        <v>0.1342</v>
      </c>
      <c r="S2959">
        <f>IMAGE("https://mitra.stanford.edu/kundaje/oak/projects/neuro-variants/variant_position/credible/roussos_2024/variant_figures/roussos_2024.adolescence.Astrocyte/rs6814473_count_position.png",4,220,900)</f>
        <v/>
      </c>
      <c r="T2959">
        <f>IMAGE("https://mitra.stanford.edu/kundaje/oak/projects/neuro-variants/variant_position/credible/roussos_2024/variant_figures/roussos_2024.adolescence.Astrocyte/rs6814473_profile_position.png",4,220,900)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0.01412167008</v>
      </c>
      <c r="G2960" t="n">
        <v>0.6322027577589524</v>
      </c>
      <c r="H2960" t="n">
        <v>0.0204433026363105</v>
      </c>
      <c r="I2960" t="n">
        <v>0.1278762880112592</v>
      </c>
      <c r="J2960" t="n">
        <v>0.001320357238228</v>
      </c>
      <c r="K2960" t="n">
        <v>0.8502910328541642</v>
      </c>
      <c r="L2960" t="b">
        <v>0</v>
      </c>
      <c r="M2960" t="b">
        <v>0</v>
      </c>
      <c r="N2960" t="inlineStr">
        <is>
          <t>alt</t>
        </is>
      </c>
      <c r="O2960" t="n">
        <v>95</v>
      </c>
      <c r="P2960" t="n">
        <v>0.001831</v>
      </c>
      <c r="Q2960" t="n">
        <v>20</v>
      </c>
      <c r="R2960" t="n">
        <v>0.013306</v>
      </c>
      <c r="S2960">
        <f>IMAGE("https://mitra.stanford.edu/kundaje/oak/projects/neuro-variants/variant_position/credible/roussos_2024/variant_figures/roussos_2024.adolescence.Astrocyte/rs35883430_count_position.png",4,220,900)</f>
        <v/>
      </c>
      <c r="T2960">
        <f>IMAGE("https://mitra.stanford.edu/kundaje/oak/projects/neuro-variants/variant_position/credible/roussos_2024/variant_figures/roussos_2024.adolescence.Astrocyte/rs35883430_profile_position.png",4,220,900)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-0.0095508305999999</v>
      </c>
      <c r="G2961" t="n">
        <v>0.3806089383017749</v>
      </c>
      <c r="H2961" t="n">
        <v>0.0181734693794789</v>
      </c>
      <c r="I2961" t="n">
        <v>0.1837211350589091</v>
      </c>
      <c r="J2961" t="n">
        <v>0.06454692460611799</v>
      </c>
      <c r="K2961" t="n">
        <v>0.4008476795869369</v>
      </c>
      <c r="L2961" t="b">
        <v>0</v>
      </c>
      <c r="M2961" t="b">
        <v>0</v>
      </c>
      <c r="N2961" t="inlineStr">
        <is>
          <t>ref</t>
        </is>
      </c>
      <c r="O2961" t="n">
        <v>100</v>
      </c>
      <c r="P2961" t="n">
        <v>0.03748</v>
      </c>
      <c r="Q2961" t="n">
        <v>100</v>
      </c>
      <c r="R2961" t="n">
        <v>0.335</v>
      </c>
      <c r="S2961">
        <f>IMAGE("https://mitra.stanford.edu/kundaje/oak/projects/neuro-variants/variant_position/credible/roussos_2024/variant_figures/roussos_2024.adolescence.Astrocyte/rs7665880_count_position.png",4,220,900)</f>
        <v/>
      </c>
      <c r="T2961">
        <f>IMAGE("https://mitra.stanford.edu/kundaje/oak/projects/neuro-variants/variant_position/credible/roussos_2024/variant_figures/roussos_2024.adolescence.Astrocyte/rs7665880_profile_position.png",4,220,900)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0.0654955312</v>
      </c>
      <c r="G2962" t="n">
        <v>0.1693690914269816</v>
      </c>
      <c r="H2962" t="n">
        <v>0.0295727294405339</v>
      </c>
      <c r="I2962" t="n">
        <v>0.0330440034795112</v>
      </c>
      <c r="J2962" t="n">
        <v>0.0631976381924457</v>
      </c>
      <c r="K2962" t="n">
        <v>0.4046292164554411</v>
      </c>
      <c r="L2962" t="b">
        <v>0</v>
      </c>
      <c r="M2962" t="b">
        <v>0</v>
      </c>
      <c r="N2962" t="inlineStr">
        <is>
          <t>alt</t>
        </is>
      </c>
      <c r="O2962" t="n">
        <v>65</v>
      </c>
      <c r="P2962" t="n">
        <v>0.00432</v>
      </c>
      <c r="Q2962" t="n">
        <v>0</v>
      </c>
      <c r="R2962" t="n">
        <v>0</v>
      </c>
      <c r="S2962">
        <f>IMAGE("https://mitra.stanford.edu/kundaje/oak/projects/neuro-variants/variant_position/credible/roussos_2024/variant_figures/roussos_2024.adolescence.Astrocyte/rs13130693_count_position.png",4,220,900)</f>
        <v/>
      </c>
      <c r="T2962">
        <f>IMAGE("https://mitra.stanford.edu/kundaje/oak/projects/neuro-variants/variant_position/credible/roussos_2024/variant_figures/roussos_2024.adolescence.Astrocyte/rs13130693_profile_position.png",4,220,900)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0.0153306157999999</v>
      </c>
      <c r="G2963" t="n">
        <v>0.3443710128751686</v>
      </c>
      <c r="H2963" t="n">
        <v>0.010795061697714</v>
      </c>
      <c r="I2963" t="n">
        <v>0.6531224945306587</v>
      </c>
      <c r="J2963" t="n">
        <v>0.0002284663086371</v>
      </c>
      <c r="K2963" t="n">
        <v>0.9609329979497392</v>
      </c>
      <c r="L2963" t="b">
        <v>0</v>
      </c>
      <c r="M2963" t="b">
        <v>0</v>
      </c>
      <c r="N2963" t="inlineStr">
        <is>
          <t>alt</t>
        </is>
      </c>
      <c r="O2963" t="n">
        <v>-95</v>
      </c>
      <c r="P2963" t="n">
        <v>0.0194</v>
      </c>
      <c r="Q2963" t="n">
        <v>-75</v>
      </c>
      <c r="R2963" t="n">
        <v>0.07214</v>
      </c>
      <c r="S2963">
        <f>IMAGE("https://mitra.stanford.edu/kundaje/oak/projects/neuro-variants/variant_position/credible/roussos_2024/variant_figures/roussos_2024.adolescence.Astrocyte/rs12647107_count_position.png",4,220,900)</f>
        <v/>
      </c>
      <c r="T2963">
        <f>IMAGE("https://mitra.stanford.edu/kundaje/oak/projects/neuro-variants/variant_position/credible/roussos_2024/variant_figures/roussos_2024.adolescence.Astrocyte/rs12647107_profile_position.png",4,220,900)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0.08890427920000001</v>
      </c>
      <c r="G2964" t="n">
        <v>0.0996593183795052</v>
      </c>
      <c r="H2964" t="n">
        <v>0.0139051723922243</v>
      </c>
      <c r="I2964" t="n">
        <v>0.3845197300636517</v>
      </c>
      <c r="J2964" t="n">
        <v>0.1180176838857074</v>
      </c>
      <c r="K2964" t="n">
        <v>0.3038713108625441</v>
      </c>
      <c r="L2964" t="b">
        <v>0</v>
      </c>
      <c r="M2964" t="b">
        <v>0</v>
      </c>
      <c r="N2964" t="inlineStr">
        <is>
          <t>alt</t>
        </is>
      </c>
      <c r="O2964" t="n">
        <v>100</v>
      </c>
      <c r="P2964" t="n">
        <v>0.002075</v>
      </c>
      <c r="Q2964" t="n">
        <v>35</v>
      </c>
      <c r="R2964" t="n">
        <v>0.0327</v>
      </c>
      <c r="S2964">
        <f>IMAGE("https://mitra.stanford.edu/kundaje/oak/projects/neuro-variants/variant_position/credible/roussos_2024/variant_figures/roussos_2024.adolescence.Astrocyte/rs35930604_count_position.png",4,220,900)</f>
        <v/>
      </c>
      <c r="T2964">
        <f>IMAGE("https://mitra.stanford.edu/kundaje/oak/projects/neuro-variants/variant_position/credible/roussos_2024/variant_figures/roussos_2024.adolescence.Astrocyte/rs35930604_profile_position.png",4,220,900)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-0.00198238952</v>
      </c>
      <c r="G2965" t="n">
        <v>0.352733422133589</v>
      </c>
      <c r="H2965" t="n">
        <v>0.0244762684266002</v>
      </c>
      <c r="I2965" t="n">
        <v>0.0677768745912742</v>
      </c>
      <c r="J2965" t="n">
        <v>0.1294402575438388</v>
      </c>
      <c r="K2965" t="n">
        <v>0.2918075915610486</v>
      </c>
      <c r="L2965" t="b">
        <v>0</v>
      </c>
      <c r="M2965" t="b">
        <v>0</v>
      </c>
      <c r="N2965" t="inlineStr">
        <is>
          <t>ref</t>
        </is>
      </c>
      <c r="O2965" t="n">
        <v>-100</v>
      </c>
      <c r="P2965" t="n">
        <v>0.01481</v>
      </c>
      <c r="Q2965" t="n">
        <v>30</v>
      </c>
      <c r="R2965" t="n">
        <v>0.062</v>
      </c>
      <c r="S2965">
        <f>IMAGE("https://mitra.stanford.edu/kundaje/oak/projects/neuro-variants/variant_position/credible/roussos_2024/variant_figures/roussos_2024.adolescence.Astrocyte/rs67951022_count_position.png",4,220,900)</f>
        <v/>
      </c>
      <c r="T2965">
        <f>IMAGE("https://mitra.stanford.edu/kundaje/oak/projects/neuro-variants/variant_position/credible/roussos_2024/variant_figures/roussos_2024.adolescence.Astrocyte/rs67951022_profile_position.png",4,220,900)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0.0331667716</v>
      </c>
      <c r="G2966" t="n">
        <v>0.3758926030499153</v>
      </c>
      <c r="H2966" t="n">
        <v>0.0100865700421803</v>
      </c>
      <c r="I2966" t="n">
        <v>0.7152948433578409</v>
      </c>
      <c r="J2966" t="n">
        <v>0.000189152300982</v>
      </c>
      <c r="K2966" t="n">
        <v>0.9635184869729236</v>
      </c>
      <c r="L2966" t="b">
        <v>0</v>
      </c>
      <c r="M2966" t="b">
        <v>0</v>
      </c>
      <c r="N2966" t="inlineStr">
        <is>
          <t>alt</t>
        </is>
      </c>
      <c r="O2966" t="n">
        <v>45</v>
      </c>
      <c r="P2966" t="n">
        <v>0.01267</v>
      </c>
      <c r="Q2966" t="n">
        <v>65</v>
      </c>
      <c r="R2966" t="n">
        <v>0.03973</v>
      </c>
      <c r="S2966">
        <f>IMAGE("https://mitra.stanford.edu/kundaje/oak/projects/neuro-variants/variant_position/credible/roussos_2024/variant_figures/roussos_2024.adolescence.Astrocyte/rs6531289_count_position.png",4,220,900)</f>
        <v/>
      </c>
      <c r="T2966">
        <f>IMAGE("https://mitra.stanford.edu/kundaje/oak/projects/neuro-variants/variant_position/credible/roussos_2024/variant_figures/roussos_2024.adolescence.Astrocyte/rs6531289_profile_position.png",4,220,900)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0.0352700037999999</v>
      </c>
      <c r="G2967" t="n">
        <v>0.3460650599543835</v>
      </c>
      <c r="H2967" t="n">
        <v>0.009338295358594199</v>
      </c>
      <c r="I2967" t="n">
        <v>0.8249274383188138</v>
      </c>
      <c r="J2967" t="n">
        <v>0.0358892383467346</v>
      </c>
      <c r="K2967" t="n">
        <v>0.4877329558501425</v>
      </c>
      <c r="L2967" t="b">
        <v>0</v>
      </c>
      <c r="M2967" t="b">
        <v>0</v>
      </c>
      <c r="N2967" t="inlineStr">
        <is>
          <t>alt</t>
        </is>
      </c>
      <c r="O2967" t="n">
        <v>-95</v>
      </c>
      <c r="P2967" t="n">
        <v>0.004913</v>
      </c>
      <c r="Q2967" t="n">
        <v>100</v>
      </c>
      <c r="R2967" t="n">
        <v>0.04047</v>
      </c>
      <c r="S2967">
        <f>IMAGE("https://mitra.stanford.edu/kundaje/oak/projects/neuro-variants/variant_position/credible/roussos_2024/variant_figures/roussos_2024.adolescence.Astrocyte/rs6824096_count_position.png",4,220,900)</f>
        <v/>
      </c>
      <c r="T2967">
        <f>IMAGE("https://mitra.stanford.edu/kundaje/oak/projects/neuro-variants/variant_position/credible/roussos_2024/variant_figures/roussos_2024.adolescence.Astrocyte/rs6824096_profile_position.png",4,220,900)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0.0951083232</v>
      </c>
      <c r="G2968" t="n">
        <v>0.1084424342516218</v>
      </c>
      <c r="H2968" t="n">
        <v>0.0189215630397651</v>
      </c>
      <c r="I2968" t="n">
        <v>0.1641875877029591</v>
      </c>
      <c r="J2968" t="n">
        <v>0.539648547607038</v>
      </c>
      <c r="K2968" t="n">
        <v>0.0453753803891946</v>
      </c>
      <c r="L2968" t="b">
        <v>0</v>
      </c>
      <c r="M2968" t="b">
        <v>0</v>
      </c>
      <c r="N2968" t="inlineStr">
        <is>
          <t>alt</t>
        </is>
      </c>
      <c r="O2968" t="n">
        <v>-100</v>
      </c>
      <c r="P2968" t="n">
        <v>0.004578</v>
      </c>
      <c r="Q2968" t="n">
        <v>-95</v>
      </c>
      <c r="R2968" t="n">
        <v>0.1367</v>
      </c>
      <c r="S2968">
        <f>IMAGE("https://mitra.stanford.edu/kundaje/oak/projects/neuro-variants/variant_position/credible/roussos_2024/variant_figures/roussos_2024.adolescence.Astrocyte/rs59339146_count_position.png",4,220,900)</f>
        <v/>
      </c>
      <c r="T2968">
        <f>IMAGE("https://mitra.stanford.edu/kundaje/oak/projects/neuro-variants/variant_position/credible/roussos_2024/variant_figures/roussos_2024.adolescence.Astrocyte/rs59339146_profile_position.png",4,220,900)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-0.0412203416</v>
      </c>
      <c r="G2969" t="n">
        <v>0.328367193136231</v>
      </c>
      <c r="H2969" t="n">
        <v>0.0093686576645809</v>
      </c>
      <c r="I2969" t="n">
        <v>0.7467902286924678</v>
      </c>
      <c r="J2969" t="n">
        <v>0.0034299617244755</v>
      </c>
      <c r="K2969" t="n">
        <v>0.7854658828239773</v>
      </c>
      <c r="L2969" t="b">
        <v>0</v>
      </c>
      <c r="M2969" t="b">
        <v>0</v>
      </c>
      <c r="N2969" t="inlineStr">
        <is>
          <t>ref</t>
        </is>
      </c>
      <c r="O2969" t="n">
        <v>-100</v>
      </c>
      <c r="P2969" t="n">
        <v>0.02377</v>
      </c>
      <c r="Q2969" t="n">
        <v>-100</v>
      </c>
      <c r="R2969" t="n">
        <v>0.1065</v>
      </c>
      <c r="S2969">
        <f>IMAGE("https://mitra.stanford.edu/kundaje/oak/projects/neuro-variants/variant_position/credible/roussos_2024/variant_figures/roussos_2024.adolescence.Astrocyte/rs35776025_count_position.png",4,220,900)</f>
        <v/>
      </c>
      <c r="T2969">
        <f>IMAGE("https://mitra.stanford.edu/kundaje/oak/projects/neuro-variants/variant_position/credible/roussos_2024/variant_figures/roussos_2024.adolescence.Astrocyte/rs35776025_profile_position.png",4,220,900)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0.0296669423</v>
      </c>
      <c r="G2970" t="n">
        <v>0.4254938614475382</v>
      </c>
      <c r="H2970" t="n">
        <v>0.0158197092658556</v>
      </c>
      <c r="I2970" t="n">
        <v>0.2814231934661514</v>
      </c>
      <c r="J2970" t="n">
        <v>0.0034314452719342</v>
      </c>
      <c r="K2970" t="n">
        <v>0.7833985391242451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0.01585</v>
      </c>
      <c r="Q2970" t="n">
        <v>100</v>
      </c>
      <c r="R2970" t="n">
        <v>0.08325</v>
      </c>
      <c r="S2970">
        <f>IMAGE("https://mitra.stanford.edu/kundaje/oak/projects/neuro-variants/variant_position/credible/roussos_2024/variant_figures/roussos_2024.adolescence.Astrocyte/rs6844408_count_position.png",4,220,900)</f>
        <v/>
      </c>
      <c r="T2970">
        <f>IMAGE("https://mitra.stanford.edu/kundaje/oak/projects/neuro-variants/variant_position/credible/roussos_2024/variant_figures/roussos_2024.adolescence.Astrocyte/rs6844408_profile_position.png",4,220,900)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-0.0018284448599999</v>
      </c>
      <c r="G2971" t="n">
        <v>0.8471817613945951</v>
      </c>
      <c r="H2971" t="n">
        <v>0.027237618299286</v>
      </c>
      <c r="I2971" t="n">
        <v>0.0463508968062855</v>
      </c>
      <c r="J2971" t="n">
        <v>0.2235268373735275</v>
      </c>
      <c r="K2971" t="n">
        <v>0.1838039604046648</v>
      </c>
      <c r="L2971" t="b">
        <v>0</v>
      </c>
      <c r="M2971" t="b">
        <v>0</v>
      </c>
      <c r="N2971" t="inlineStr">
        <is>
          <t>ref</t>
        </is>
      </c>
      <c r="O2971" t="n">
        <v>-90</v>
      </c>
      <c r="P2971" t="n">
        <v>0.003937</v>
      </c>
      <c r="Q2971" t="n">
        <v>75</v>
      </c>
      <c r="R2971" t="n">
        <v>0.1062</v>
      </c>
      <c r="S2971">
        <f>IMAGE("https://mitra.stanford.edu/kundaje/oak/projects/neuro-variants/variant_position/credible/roussos_2024/variant_figures/roussos_2024.adolescence.Astrocyte/rs10461117_count_position.png",4,220,900)</f>
        <v/>
      </c>
      <c r="T2971">
        <f>IMAGE("https://mitra.stanford.edu/kundaje/oak/projects/neuro-variants/variant_position/credible/roussos_2024/variant_figures/roussos_2024.adolescence.Astrocyte/rs10461117_profile_position.png",4,220,900)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-0.054391902</v>
      </c>
      <c r="G2972" t="n">
        <v>0.2155773243866094</v>
      </c>
      <c r="H2972" t="n">
        <v>0.0713784932658408</v>
      </c>
      <c r="I2972" t="n">
        <v>0.0010594404207266</v>
      </c>
      <c r="J2972" t="n">
        <v>0.0043831409666794</v>
      </c>
      <c r="K2972" t="n">
        <v>0.7568439838904523</v>
      </c>
      <c r="L2972" t="b">
        <v>0</v>
      </c>
      <c r="M2972" t="b">
        <v>0</v>
      </c>
      <c r="N2972" t="inlineStr">
        <is>
          <t>ref</t>
        </is>
      </c>
      <c r="O2972" t="n">
        <v>-55</v>
      </c>
      <c r="P2972" t="n">
        <v>0.001831</v>
      </c>
      <c r="Q2972" t="n">
        <v>85</v>
      </c>
      <c r="R2972" t="n">
        <v>0.09619999999999999</v>
      </c>
      <c r="S2972">
        <f>IMAGE("https://mitra.stanford.edu/kundaje/oak/projects/neuro-variants/variant_position/credible/roussos_2024/variant_figures/roussos_2024.adolescence.Astrocyte/rs113731541_count_position.png",4,220,900)</f>
        <v/>
      </c>
      <c r="T2972">
        <f>IMAGE("https://mitra.stanford.edu/kundaje/oak/projects/neuro-variants/variant_position/credible/roussos_2024/variant_figures/roussos_2024.adolescence.Astrocyte/rs113731541_profile_position.png",4,220,900)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0.0171835408</v>
      </c>
      <c r="G2973" t="n">
        <v>0.5792213633005374</v>
      </c>
      <c r="H2973" t="n">
        <v>0.0282362033273637</v>
      </c>
      <c r="I2973" t="n">
        <v>0.0398589990045301</v>
      </c>
      <c r="J2973" t="n">
        <v>0.004312672462392</v>
      </c>
      <c r="K2973" t="n">
        <v>0.7588652626837439</v>
      </c>
      <c r="L2973" t="b">
        <v>0</v>
      </c>
      <c r="M2973" t="b">
        <v>0</v>
      </c>
      <c r="N2973" t="inlineStr">
        <is>
          <t>alt</t>
        </is>
      </c>
      <c r="O2973" t="n">
        <v>-75</v>
      </c>
      <c r="P2973" t="n">
        <v>0.004517</v>
      </c>
      <c r="Q2973" t="n">
        <v>-75</v>
      </c>
      <c r="R2973" t="n">
        <v>0.0733</v>
      </c>
      <c r="S2973">
        <f>IMAGE("https://mitra.stanford.edu/kundaje/oak/projects/neuro-variants/variant_position/credible/roussos_2024/variant_figures/roussos_2024.adolescence.Astrocyte/rs34334195_count_position.png",4,220,900)</f>
        <v/>
      </c>
      <c r="T2973">
        <f>IMAGE("https://mitra.stanford.edu/kundaje/oak/projects/neuro-variants/variant_position/credible/roussos_2024/variant_figures/roussos_2024.adolescence.Astrocyte/rs34334195_profile_position.png",4,220,900)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0.0033918485</v>
      </c>
      <c r="G2974" t="n">
        <v>0.8427904212884755</v>
      </c>
      <c r="H2974" t="n">
        <v>0.029358347082076</v>
      </c>
      <c r="I2974" t="n">
        <v>0.0350776786910157</v>
      </c>
      <c r="J2974" t="n">
        <v>0.002043586624336</v>
      </c>
      <c r="K2974" t="n">
        <v>0.8277494953436182</v>
      </c>
      <c r="L2974" t="b">
        <v>0</v>
      </c>
      <c r="M2974" t="b">
        <v>0</v>
      </c>
      <c r="N2974" t="inlineStr">
        <is>
          <t>alt</t>
        </is>
      </c>
      <c r="O2974" t="n">
        <v>-75</v>
      </c>
      <c r="P2974" t="n">
        <v>0.03082</v>
      </c>
      <c r="Q2974" t="n">
        <v>-75</v>
      </c>
      <c r="R2974" t="n">
        <v>0.01221</v>
      </c>
      <c r="S2974">
        <f>IMAGE("https://mitra.stanford.edu/kundaje/oak/projects/neuro-variants/variant_position/credible/roussos_2024/variant_figures/roussos_2024.adolescence.Astrocyte/rs35361741_count_position.png",4,220,900)</f>
        <v/>
      </c>
      <c r="T2974">
        <f>IMAGE("https://mitra.stanford.edu/kundaje/oak/projects/neuro-variants/variant_position/credible/roussos_2024/variant_figures/roussos_2024.adolescence.Astrocyte/rs35361741_profile_position.png",4,220,900)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-0.0692139666</v>
      </c>
      <c r="G2975" t="n">
        <v>0.1517275321396645</v>
      </c>
      <c r="H2975" t="n">
        <v>0.0147662997358287</v>
      </c>
      <c r="I2975" t="n">
        <v>0.3433186497425061</v>
      </c>
      <c r="J2975" t="n">
        <v>0.0007373230869655</v>
      </c>
      <c r="K2975" t="n">
        <v>0.8967347009862273</v>
      </c>
      <c r="L2975" t="b">
        <v>0</v>
      </c>
      <c r="M2975" t="b">
        <v>0</v>
      </c>
      <c r="N2975" t="inlineStr">
        <is>
          <t>ref</t>
        </is>
      </c>
      <c r="O2975" t="n">
        <v>-100</v>
      </c>
      <c r="P2975" t="n">
        <v>0.002453</v>
      </c>
      <c r="Q2975" t="n">
        <v>-35</v>
      </c>
      <c r="R2975" t="n">
        <v>0.0665</v>
      </c>
      <c r="S2975">
        <f>IMAGE("https://mitra.stanford.edu/kundaje/oak/projects/neuro-variants/variant_position/credible/roussos_2024/variant_figures/roussos_2024.adolescence.Astrocyte/rs13146184_count_position.png",4,220,900)</f>
        <v/>
      </c>
      <c r="T2975">
        <f>IMAGE("https://mitra.stanford.edu/kundaje/oak/projects/neuro-variants/variant_position/credible/roussos_2024/variant_figures/roussos_2024.adolescence.Astrocyte/rs13146184_profile_position.png",4,220,900)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-2.704466400000006e-05</v>
      </c>
      <c r="G2976" t="n">
        <v>0.8712409498577736</v>
      </c>
      <c r="H2976" t="n">
        <v>0.0309260938467344</v>
      </c>
      <c r="I2976" t="n">
        <v>0.027826982893879</v>
      </c>
      <c r="J2976" t="n">
        <v>0.0002625879001868</v>
      </c>
      <c r="K2976" t="n">
        <v>0.9489337633939195</v>
      </c>
      <c r="L2976" t="b">
        <v>0</v>
      </c>
      <c r="M2976" t="b">
        <v>0</v>
      </c>
      <c r="N2976" t="inlineStr">
        <is>
          <t>ref</t>
        </is>
      </c>
      <c r="O2976" t="n">
        <v>80</v>
      </c>
      <c r="P2976" t="n">
        <v>0.012115</v>
      </c>
      <c r="Q2976" t="n">
        <v>85</v>
      </c>
      <c r="R2976" t="n">
        <v>0.2869</v>
      </c>
      <c r="S2976">
        <f>IMAGE("https://mitra.stanford.edu/kundaje/oak/projects/neuro-variants/variant_position/credible/roussos_2024/variant_figures/roussos_2024.adolescence.Astrocyte/rs3924935_count_position.png",4,220,900)</f>
        <v/>
      </c>
      <c r="T2976">
        <f>IMAGE("https://mitra.stanford.edu/kundaje/oak/projects/neuro-variants/variant_position/credible/roussos_2024/variant_figures/roussos_2024.adolescence.Astrocyte/rs3924935_profile_position.png",4,220,900)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0.00367065552</v>
      </c>
      <c r="G2977" t="n">
        <v>0.7741653500090068</v>
      </c>
      <c r="H2977" t="n">
        <v>0.030564333628907</v>
      </c>
      <c r="I2977" t="n">
        <v>0.0293675744717024</v>
      </c>
      <c r="J2977" t="n">
        <v>0.0194070260807642</v>
      </c>
      <c r="K2977" t="n">
        <v>0.5842156736369433</v>
      </c>
      <c r="L2977" t="b">
        <v>0</v>
      </c>
      <c r="M2977" t="b">
        <v>0</v>
      </c>
      <c r="N2977" t="inlineStr">
        <is>
          <t>alt</t>
        </is>
      </c>
      <c r="O2977" t="n">
        <v>20</v>
      </c>
      <c r="P2977" t="n">
        <v>0.000725</v>
      </c>
      <c r="Q2977" t="n">
        <v>20</v>
      </c>
      <c r="R2977" t="n">
        <v>0.04517</v>
      </c>
      <c r="S2977">
        <f>IMAGE("https://mitra.stanford.edu/kundaje/oak/projects/neuro-variants/variant_position/credible/roussos_2024/variant_figures/roussos_2024.adolescence.Astrocyte/rs35921722_count_position.png",4,220,900)</f>
        <v/>
      </c>
      <c r="T2977">
        <f>IMAGE("https://mitra.stanford.edu/kundaje/oak/projects/neuro-variants/variant_position/credible/roussos_2024/variant_figures/roussos_2024.adolescence.Astrocyte/rs35921722_profile_position.png",4,220,900)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0.0133955368</v>
      </c>
      <c r="G2978" t="n">
        <v>0.6496017303768014</v>
      </c>
      <c r="H2978" t="n">
        <v>0.0203589943263315</v>
      </c>
      <c r="I2978" t="n">
        <v>0.1315950275049461</v>
      </c>
      <c r="J2978" t="n">
        <v>0.0020376524345013</v>
      </c>
      <c r="K2978" t="n">
        <v>0.8210209730083791</v>
      </c>
      <c r="L2978" t="b">
        <v>0</v>
      </c>
      <c r="M2978" t="b">
        <v>0</v>
      </c>
      <c r="N2978" t="inlineStr">
        <is>
          <t>alt</t>
        </is>
      </c>
      <c r="O2978" t="n">
        <v>-50</v>
      </c>
      <c r="P2978" t="n">
        <v>0.00864</v>
      </c>
      <c r="Q2978" t="n">
        <v>-90</v>
      </c>
      <c r="R2978" t="n">
        <v>0.05746</v>
      </c>
      <c r="S2978">
        <f>IMAGE("https://mitra.stanford.edu/kundaje/oak/projects/neuro-variants/variant_position/credible/roussos_2024/variant_figures/roussos_2024.adolescence.Astrocyte/rs9985883_count_position.png",4,220,900)</f>
        <v/>
      </c>
      <c r="T2978">
        <f>IMAGE("https://mitra.stanford.edu/kundaje/oak/projects/neuro-variants/variant_position/credible/roussos_2024/variant_figures/roussos_2024.adolescence.Astrocyte/rs9985883_profile_position.png",4,220,900)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0.00393587374</v>
      </c>
      <c r="G2979" t="n">
        <v>0.7388376741057945</v>
      </c>
      <c r="H2979" t="n">
        <v>0.011766463958548</v>
      </c>
      <c r="I2979" t="n">
        <v>0.5796906243693849</v>
      </c>
      <c r="J2979" t="n">
        <v>0.000100139453461</v>
      </c>
      <c r="K2979" t="n">
        <v>0.976904576150842</v>
      </c>
      <c r="L2979" t="b">
        <v>0</v>
      </c>
      <c r="M2979" t="b">
        <v>0</v>
      </c>
      <c r="N2979" t="inlineStr">
        <is>
          <t>alt</t>
        </is>
      </c>
      <c r="O2979" t="n">
        <v>-5</v>
      </c>
      <c r="P2979" t="n">
        <v>0.0005493</v>
      </c>
      <c r="Q2979" t="n">
        <v>20</v>
      </c>
      <c r="R2979" t="n">
        <v>0.01602</v>
      </c>
      <c r="S2979">
        <f>IMAGE("https://mitra.stanford.edu/kundaje/oak/projects/neuro-variants/variant_position/credible/roussos_2024/variant_figures/roussos_2024.adolescence.Astrocyte/rs13152643_count_position.png",4,220,900)</f>
        <v/>
      </c>
      <c r="T2979">
        <f>IMAGE("https://mitra.stanford.edu/kundaje/oak/projects/neuro-variants/variant_position/credible/roussos_2024/variant_figures/roussos_2024.adolescence.Astrocyte/rs13152643_profile_position.png",4,220,900)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0.00899729092</v>
      </c>
      <c r="G2980" t="n">
        <v>0.7605161970403703</v>
      </c>
      <c r="H2980" t="n">
        <v>0.0267868161638056</v>
      </c>
      <c r="I2980" t="n">
        <v>0.0486175900536663</v>
      </c>
      <c r="J2980" t="n">
        <v>0.0018017683885706</v>
      </c>
      <c r="K2980" t="n">
        <v>0.8394683582346842</v>
      </c>
      <c r="L2980" t="b">
        <v>0</v>
      </c>
      <c r="M2980" t="b">
        <v>0</v>
      </c>
      <c r="N2980" t="inlineStr">
        <is>
          <t>alt</t>
        </is>
      </c>
      <c r="O2980" t="n">
        <v>-5</v>
      </c>
      <c r="P2980" t="n">
        <v>9.54e-06</v>
      </c>
      <c r="Q2980" t="n">
        <v>-70</v>
      </c>
      <c r="R2980" t="n">
        <v>0.0814</v>
      </c>
      <c r="S2980">
        <f>IMAGE("https://mitra.stanford.edu/kundaje/oak/projects/neuro-variants/variant_position/credible/roussos_2024/variant_figures/roussos_2024.adolescence.Astrocyte/rs10022287_count_position.png",4,220,900)</f>
        <v/>
      </c>
      <c r="T2980">
        <f>IMAGE("https://mitra.stanford.edu/kundaje/oak/projects/neuro-variants/variant_position/credible/roussos_2024/variant_figures/roussos_2024.adolescence.Astrocyte/rs10022287_profile_position.png",4,220,900)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-0.1360402792</v>
      </c>
      <c r="G2981" t="n">
        <v>0.0435762031482548</v>
      </c>
      <c r="H2981" t="n">
        <v>0.0270012933216017</v>
      </c>
      <c r="I2981" t="n">
        <v>0.0495285901008409</v>
      </c>
      <c r="J2981" t="n">
        <v>0.0021007032014953</v>
      </c>
      <c r="K2981" t="n">
        <v>0.823456911621349</v>
      </c>
      <c r="L2981" t="b">
        <v>0</v>
      </c>
      <c r="M2981" t="b">
        <v>0</v>
      </c>
      <c r="N2981" t="inlineStr">
        <is>
          <t>ref</t>
        </is>
      </c>
      <c r="O2981" t="n">
        <v>65</v>
      </c>
      <c r="P2981" t="n">
        <v>0.04034</v>
      </c>
      <c r="Q2981" t="n">
        <v>-80</v>
      </c>
      <c r="R2981" t="n">
        <v>0.06320000000000001</v>
      </c>
      <c r="S2981">
        <f>IMAGE("https://mitra.stanford.edu/kundaje/oak/projects/neuro-variants/variant_position/credible/roussos_2024/variant_figures/roussos_2024.adolescence.Astrocyte/rs10010927_count_position.png",4,220,900)</f>
        <v/>
      </c>
      <c r="T2981">
        <f>IMAGE("https://mitra.stanford.edu/kundaje/oak/projects/neuro-variants/variant_position/credible/roussos_2024/variant_figures/roussos_2024.adolescence.Astrocyte/rs10010927_profile_position.png",4,220,900)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-0.0473700356</v>
      </c>
      <c r="G2982" t="n">
        <v>0.2538255317024307</v>
      </c>
      <c r="H2982" t="n">
        <v>0.0122215190912331</v>
      </c>
      <c r="I2982" t="n">
        <v>0.5236371363822949</v>
      </c>
      <c r="J2982" t="n">
        <v>0.0001691244102898</v>
      </c>
      <c r="K2982" t="n">
        <v>0.9661460990022736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0.02213</v>
      </c>
      <c r="Q2982" t="n">
        <v>85</v>
      </c>
      <c r="R2982" t="n">
        <v>0.06573</v>
      </c>
      <c r="S2982">
        <f>IMAGE("https://mitra.stanford.edu/kundaje/oak/projects/neuro-variants/variant_position/credible/roussos_2024/variant_figures/roussos_2024.adolescence.Astrocyte/rs28473456_count_position.png",4,220,900)</f>
        <v/>
      </c>
      <c r="T2982">
        <f>IMAGE("https://mitra.stanford.edu/kundaje/oak/projects/neuro-variants/variant_position/credible/roussos_2024/variant_figures/roussos_2024.adolescence.Astrocyte/rs28473456_profile_position.png",4,220,900)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-0.0689261306</v>
      </c>
      <c r="G2983" t="n">
        <v>0.1481183132829807</v>
      </c>
      <c r="H2983" t="n">
        <v>0.0113378855888167</v>
      </c>
      <c r="I2983" t="n">
        <v>0.6200814571580644</v>
      </c>
      <c r="J2983" t="n">
        <v>0.000482152924072</v>
      </c>
      <c r="K2983" t="n">
        <v>0.956583158642728</v>
      </c>
      <c r="L2983" t="b">
        <v>0</v>
      </c>
      <c r="M2983" t="b">
        <v>0</v>
      </c>
      <c r="N2983" t="inlineStr">
        <is>
          <t>ref</t>
        </is>
      </c>
      <c r="O2983" t="n">
        <v>100</v>
      </c>
      <c r="P2983" t="n">
        <v>0.00903</v>
      </c>
      <c r="Q2983" t="n">
        <v>100</v>
      </c>
      <c r="R2983" t="n">
        <v>0.10986</v>
      </c>
      <c r="S2983">
        <f>IMAGE("https://mitra.stanford.edu/kundaje/oak/projects/neuro-variants/variant_position/credible/roussos_2024/variant_figures/roussos_2024.adolescence.Astrocyte/rs6854464_count_position.png",4,220,900)</f>
        <v/>
      </c>
      <c r="T2983">
        <f>IMAGE("https://mitra.stanford.edu/kundaje/oak/projects/neuro-variants/variant_position/credible/roussos_2024/variant_figures/roussos_2024.adolescence.Astrocyte/rs6854464_profile_position.png",4,220,900)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0.1015016248</v>
      </c>
      <c r="G2984" t="n">
        <v>0.0748240999417496</v>
      </c>
      <c r="H2984" t="n">
        <v>0.0128166269262934</v>
      </c>
      <c r="I2984" t="n">
        <v>0.4808060613331558</v>
      </c>
      <c r="J2984" t="n">
        <v>0.0006446013707978</v>
      </c>
      <c r="K2984" t="n">
        <v>0.914343567112631</v>
      </c>
      <c r="L2984" t="b">
        <v>0</v>
      </c>
      <c r="M2984" t="b">
        <v>0</v>
      </c>
      <c r="N2984" t="inlineStr">
        <is>
          <t>alt</t>
        </is>
      </c>
      <c r="O2984" t="n">
        <v>-10</v>
      </c>
      <c r="P2984" t="n">
        <v>0.000641</v>
      </c>
      <c r="Q2984" t="n">
        <v>10</v>
      </c>
      <c r="R2984" t="n">
        <v>0.002075</v>
      </c>
      <c r="S2984">
        <f>IMAGE("https://mitra.stanford.edu/kundaje/oak/projects/neuro-variants/variant_position/credible/roussos_2024/variant_figures/roussos_2024.adolescence.Astrocyte/rs34045875_count_position.png",4,220,900)</f>
        <v/>
      </c>
      <c r="T2984">
        <f>IMAGE("https://mitra.stanford.edu/kundaje/oak/projects/neuro-variants/variant_position/credible/roussos_2024/variant_figures/roussos_2024.adolescence.Astrocyte/rs34045875_profile_position.png",4,220,900)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0.188552486</v>
      </c>
      <c r="G2985" t="n">
        <v>0.0205179138902049</v>
      </c>
      <c r="H2985" t="n">
        <v>0.032990519161571</v>
      </c>
      <c r="I2985" t="n">
        <v>0.0212655010700934</v>
      </c>
      <c r="J2985" t="n">
        <v>0.0103091712903895</v>
      </c>
      <c r="K2985" t="n">
        <v>0.6651295723772256</v>
      </c>
      <c r="L2985" t="b">
        <v>0</v>
      </c>
      <c r="M2985" t="b">
        <v>0</v>
      </c>
      <c r="N2985" t="inlineStr">
        <is>
          <t>alt</t>
        </is>
      </c>
      <c r="O2985" t="n">
        <v>50</v>
      </c>
      <c r="P2985" t="n">
        <v>0.05554</v>
      </c>
      <c r="Q2985" t="n">
        <v>-65</v>
      </c>
      <c r="R2985" t="n">
        <v>0.0514</v>
      </c>
      <c r="S2985">
        <f>IMAGE("https://mitra.stanford.edu/kundaje/oak/projects/neuro-variants/variant_position/credible/roussos_2024/variant_figures/roussos_2024.adolescence.Astrocyte/rs13149553_count_position.png",4,220,900)</f>
        <v/>
      </c>
      <c r="T2985">
        <f>IMAGE("https://mitra.stanford.edu/kundaje/oak/projects/neuro-variants/variant_position/credible/roussos_2024/variant_figures/roussos_2024.adolescence.Astrocyte/rs13149553_profile_position.png",4,220,900)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0.0081461490299999</v>
      </c>
      <c r="G2986" t="n">
        <v>0.7706104192617544</v>
      </c>
      <c r="H2986" t="n">
        <v>0.0341830618268141</v>
      </c>
      <c r="I2986" t="n">
        <v>0.0187768404911923</v>
      </c>
      <c r="J2986" t="n">
        <v>0.0031458623861376</v>
      </c>
      <c r="K2986" t="n">
        <v>0.7855500970131651</v>
      </c>
      <c r="L2986" t="b">
        <v>0</v>
      </c>
      <c r="M2986" t="b">
        <v>0</v>
      </c>
      <c r="N2986" t="inlineStr">
        <is>
          <t>alt</t>
        </is>
      </c>
      <c r="O2986" t="n">
        <v>-60</v>
      </c>
      <c r="P2986" t="n">
        <v>0.00482</v>
      </c>
      <c r="Q2986" t="n">
        <v>25</v>
      </c>
      <c r="R2986" t="n">
        <v>0.05145</v>
      </c>
      <c r="S2986">
        <f>IMAGE("https://mitra.stanford.edu/kundaje/oak/projects/neuro-variants/variant_position/credible/roussos_2024/variant_figures/roussos_2024.adolescence.Astrocyte/rs13149360_count_position.png",4,220,900)</f>
        <v/>
      </c>
      <c r="T2986">
        <f>IMAGE("https://mitra.stanford.edu/kundaje/oak/projects/neuro-variants/variant_position/credible/roussos_2024/variant_figures/roussos_2024.adolescence.Astrocyte/rs13149360_profile_position.png",4,220,900)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-0.0274907493999999</v>
      </c>
      <c r="G2987" t="n">
        <v>0.3769591761129601</v>
      </c>
      <c r="H2987" t="n">
        <v>0.0120847169946974</v>
      </c>
      <c r="I2987" t="n">
        <v>0.5383585445071071</v>
      </c>
      <c r="J2987" t="n">
        <v>0.0011549416965848</v>
      </c>
      <c r="K2987" t="n">
        <v>0.874513722326399</v>
      </c>
      <c r="L2987" t="b">
        <v>0</v>
      </c>
      <c r="M2987" t="b">
        <v>0</v>
      </c>
      <c r="N2987" t="inlineStr">
        <is>
          <t>ref</t>
        </is>
      </c>
      <c r="O2987" t="n">
        <v>90</v>
      </c>
      <c r="P2987" t="n">
        <v>0.1103</v>
      </c>
      <c r="Q2987" t="n">
        <v>-45</v>
      </c>
      <c r="R2987" t="n">
        <v>0.10986</v>
      </c>
      <c r="S2987">
        <f>IMAGE("https://mitra.stanford.edu/kundaje/oak/projects/neuro-variants/variant_position/credible/roussos_2024/variant_figures/roussos_2024.adolescence.Astrocyte/rs3924385_count_position.png",4,220,900)</f>
        <v/>
      </c>
      <c r="T2987">
        <f>IMAGE("https://mitra.stanford.edu/kundaje/oak/projects/neuro-variants/variant_position/credible/roussos_2024/variant_figures/roussos_2024.adolescence.Astrocyte/rs3924385_profile_position.png",4,220,900)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-0.045602089</v>
      </c>
      <c r="G2988" t="n">
        <v>0.315097344528922</v>
      </c>
      <c r="H2988" t="n">
        <v>0.0135370208195241</v>
      </c>
      <c r="I2988" t="n">
        <v>0.4166893145130109</v>
      </c>
      <c r="J2988" t="n">
        <v>0.005064089250215</v>
      </c>
      <c r="K2988" t="n">
        <v>0.77050327289702</v>
      </c>
      <c r="L2988" t="b">
        <v>0</v>
      </c>
      <c r="M2988" t="b">
        <v>0</v>
      </c>
      <c r="N2988" t="inlineStr">
        <is>
          <t>ref</t>
        </is>
      </c>
      <c r="O2988" t="n">
        <v>-95</v>
      </c>
      <c r="P2988" t="n">
        <v>0.01596</v>
      </c>
      <c r="Q2988" t="n">
        <v>-100</v>
      </c>
      <c r="R2988" t="n">
        <v>0.1531</v>
      </c>
      <c r="S2988">
        <f>IMAGE("https://mitra.stanford.edu/kundaje/oak/projects/neuro-variants/variant_position/credible/roussos_2024/variant_figures/roussos_2024.adolescence.Astrocyte/rs28491432_count_position.png",4,220,900)</f>
        <v/>
      </c>
      <c r="T2988">
        <f>IMAGE("https://mitra.stanford.edu/kundaje/oak/projects/neuro-variants/variant_position/credible/roussos_2024/variant_figures/roussos_2024.adolescence.Astrocyte/rs28491432_profile_position.png",4,220,900)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0.0728446812</v>
      </c>
      <c r="G2989" t="n">
        <v>0.1753313602788217</v>
      </c>
      <c r="H2989" t="n">
        <v>0.0342260010222819</v>
      </c>
      <c r="I2989" t="n">
        <v>0.0234425792800379</v>
      </c>
      <c r="J2989" t="n">
        <v>0.0040515681096637</v>
      </c>
      <c r="K2989" t="n">
        <v>0.7918797367418254</v>
      </c>
      <c r="L2989" t="b">
        <v>0</v>
      </c>
      <c r="M2989" t="b">
        <v>0</v>
      </c>
      <c r="N2989" t="inlineStr">
        <is>
          <t>alt</t>
        </is>
      </c>
      <c r="O2989" t="n">
        <v>35</v>
      </c>
      <c r="P2989" t="n">
        <v>0.004578</v>
      </c>
      <c r="Q2989" t="n">
        <v>100</v>
      </c>
      <c r="R2989" t="n">
        <v>0.2402</v>
      </c>
      <c r="S2989">
        <f>IMAGE("https://mitra.stanford.edu/kundaje/oak/projects/neuro-variants/variant_position/credible/roussos_2024/variant_figures/roussos_2024.adolescence.Astrocyte/rs13126801_count_position.png",4,220,900)</f>
        <v/>
      </c>
      <c r="T2989">
        <f>IMAGE("https://mitra.stanford.edu/kundaje/oak/projects/neuro-variants/variant_position/credible/roussos_2024/variant_figures/roussos_2024.adolescence.Astrocyte/rs13126801_profile_position.png",4,220,900)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-0.0327113494</v>
      </c>
      <c r="G2990" t="n">
        <v>0.3851602386702432</v>
      </c>
      <c r="H2990" t="n">
        <v>0.0620737937690831</v>
      </c>
      <c r="I2990" t="n">
        <v>0.0017094278778227</v>
      </c>
      <c r="J2990" t="n">
        <v>0.0043942675726196</v>
      </c>
      <c r="K2990" t="n">
        <v>0.7472124308112345</v>
      </c>
      <c r="L2990" t="b">
        <v>0</v>
      </c>
      <c r="M2990" t="b">
        <v>0</v>
      </c>
      <c r="N2990" t="inlineStr">
        <is>
          <t>ref</t>
        </is>
      </c>
      <c r="O2990" t="n">
        <v>-90</v>
      </c>
      <c r="P2990" t="n">
        <v>0.01862</v>
      </c>
      <c r="Q2990" t="n">
        <v>100</v>
      </c>
      <c r="R2990" t="n">
        <v>0.1853</v>
      </c>
      <c r="S2990">
        <f>IMAGE("https://mitra.stanford.edu/kundaje/oak/projects/neuro-variants/variant_position/credible/roussos_2024/variant_figures/roussos_2024.adolescence.Astrocyte/rs80143073_count_position.png",4,220,900)</f>
        <v/>
      </c>
      <c r="T2990">
        <f>IMAGE("https://mitra.stanford.edu/kundaje/oak/projects/neuro-variants/variant_position/credible/roussos_2024/variant_figures/roussos_2024.adolescence.Astrocyte/rs80143073_profile_position.png",4,220,900)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0.00729089138</v>
      </c>
      <c r="G2991" t="n">
        <v>0.7992381135439253</v>
      </c>
      <c r="H2991" t="n">
        <v>0.0258585232568044</v>
      </c>
      <c r="I2991" t="n">
        <v>0.0557140382549095</v>
      </c>
      <c r="J2991" t="n">
        <v>0.0011593923389608</v>
      </c>
      <c r="K2991" t="n">
        <v>0.8726827735684624</v>
      </c>
      <c r="L2991" t="b">
        <v>0</v>
      </c>
      <c r="M2991" t="b">
        <v>0</v>
      </c>
      <c r="N2991" t="inlineStr">
        <is>
          <t>alt</t>
        </is>
      </c>
      <c r="O2991" t="n">
        <v>0</v>
      </c>
      <c r="P2991" t="n">
        <v>0</v>
      </c>
      <c r="Q2991" t="n">
        <v>100</v>
      </c>
      <c r="R2991" t="n">
        <v>0.02435</v>
      </c>
      <c r="S2991">
        <f>IMAGE("https://mitra.stanford.edu/kundaje/oak/projects/neuro-variants/variant_position/credible/roussos_2024/variant_figures/roussos_2024.adolescence.Astrocyte/rs28576298_count_position.png",4,220,900)</f>
        <v/>
      </c>
      <c r="T2991">
        <f>IMAGE("https://mitra.stanford.edu/kundaje/oak/projects/neuro-variants/variant_position/credible/roussos_2024/variant_figures/roussos_2024.adolescence.Astrocyte/rs28576298_profile_position.png",4,220,900)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0.01052202814</v>
      </c>
      <c r="G2992" t="n">
        <v>0.7224066714434338</v>
      </c>
      <c r="H2992" t="n">
        <v>0.0243334913131073</v>
      </c>
      <c r="I2992" t="n">
        <v>0.0694870171038115</v>
      </c>
      <c r="J2992" t="n">
        <v>0.000334539951933</v>
      </c>
      <c r="K2992" t="n">
        <v>0.9507295414525236</v>
      </c>
      <c r="L2992" t="b">
        <v>0</v>
      </c>
      <c r="M2992" t="b">
        <v>0</v>
      </c>
      <c r="N2992" t="inlineStr">
        <is>
          <t>alt</t>
        </is>
      </c>
      <c r="O2992" t="n">
        <v>-95</v>
      </c>
      <c r="P2992" t="n">
        <v>0.02275</v>
      </c>
      <c r="Q2992" t="n">
        <v>-100</v>
      </c>
      <c r="R2992" t="n">
        <v>0.1814</v>
      </c>
      <c r="S2992">
        <f>IMAGE("https://mitra.stanford.edu/kundaje/oak/projects/neuro-variants/variant_position/credible/roussos_2024/variant_figures/roussos_2024.adolescence.Astrocyte/rs59815841_count_position.png",4,220,900)</f>
        <v/>
      </c>
      <c r="T2992">
        <f>IMAGE("https://mitra.stanford.edu/kundaje/oak/projects/neuro-variants/variant_position/credible/roussos_2024/variant_figures/roussos_2024.adolescence.Astrocyte/rs59815841_profile_position.png",4,220,900)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0.00583804968</v>
      </c>
      <c r="G2993" t="n">
        <v>0.831481387943396</v>
      </c>
      <c r="H2993" t="n">
        <v>0.021065017616158</v>
      </c>
      <c r="I2993" t="n">
        <v>0.1154681400773142</v>
      </c>
      <c r="J2993" t="n">
        <v>0.0107809393822507</v>
      </c>
      <c r="K2993" t="n">
        <v>0.6763740470523675</v>
      </c>
      <c r="L2993" t="b">
        <v>0</v>
      </c>
      <c r="M2993" t="b">
        <v>0</v>
      </c>
      <c r="N2993" t="inlineStr">
        <is>
          <t>alt</t>
        </is>
      </c>
      <c r="O2993" t="n">
        <v>-100</v>
      </c>
      <c r="P2993" t="n">
        <v>0.008224</v>
      </c>
      <c r="Q2993" t="n">
        <v>-100</v>
      </c>
      <c r="R2993" t="n">
        <v>0.1653</v>
      </c>
      <c r="S2993">
        <f>IMAGE("https://mitra.stanford.edu/kundaje/oak/projects/neuro-variants/variant_position/credible/roussos_2024/variant_figures/roussos_2024.adolescence.Astrocyte/rs7697283_count_position.png",4,220,900)</f>
        <v/>
      </c>
      <c r="T2993">
        <f>IMAGE("https://mitra.stanford.edu/kundaje/oak/projects/neuro-variants/variant_position/credible/roussos_2024/variant_figures/roussos_2024.adolescence.Astrocyte/rs7697283_profile_position.png",4,220,900)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0.0280375955</v>
      </c>
      <c r="G2994" t="n">
        <v>0.3675726904131129</v>
      </c>
      <c r="H2994" t="n">
        <v>0.0157947934293317</v>
      </c>
      <c r="I2994" t="n">
        <v>0.2818001392187818</v>
      </c>
      <c r="J2994" t="n">
        <v>0.0326202415215262</v>
      </c>
      <c r="K2994" t="n">
        <v>0.5185720220043304</v>
      </c>
      <c r="L2994" t="b">
        <v>0</v>
      </c>
      <c r="M2994" t="b">
        <v>0</v>
      </c>
      <c r="N2994" t="inlineStr">
        <is>
          <t>alt</t>
        </is>
      </c>
      <c r="O2994" t="n">
        <v>-100</v>
      </c>
      <c r="P2994" t="n">
        <v>0.005272</v>
      </c>
      <c r="Q2994" t="n">
        <v>-10</v>
      </c>
      <c r="R2994" t="n">
        <v>0.01514</v>
      </c>
      <c r="S2994">
        <f>IMAGE("https://mitra.stanford.edu/kundaje/oak/projects/neuro-variants/variant_position/credible/roussos_2024/variant_figures/roussos_2024.adolescence.Astrocyte/rs9784438_count_position.png",4,220,900)</f>
        <v/>
      </c>
      <c r="T2994">
        <f>IMAGE("https://mitra.stanford.edu/kundaje/oak/projects/neuro-variants/variant_position/credible/roussos_2024/variant_figures/roussos_2024.adolescence.Astrocyte/rs9784438_profile_position.png",4,220,900)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-0.323553634</v>
      </c>
      <c r="G2995" t="n">
        <v>0.0051713841105744</v>
      </c>
      <c r="H2995" t="n">
        <v>0.0500030892671776</v>
      </c>
      <c r="I2995" t="n">
        <v>0.0039685031398217</v>
      </c>
      <c r="J2995" t="n">
        <v>0.0622414918553244</v>
      </c>
      <c r="K2995" t="n">
        <v>0.4096529063843469</v>
      </c>
      <c r="L2995" t="b">
        <v>1</v>
      </c>
      <c r="M2995" t="b">
        <v>1</v>
      </c>
      <c r="N2995" t="inlineStr">
        <is>
          <t>ref</t>
        </is>
      </c>
      <c r="O2995" t="n">
        <v>-5</v>
      </c>
      <c r="P2995" t="n">
        <v>0.00232</v>
      </c>
      <c r="Q2995" t="n">
        <v>-45</v>
      </c>
      <c r="R2995" t="n">
        <v>0.06152</v>
      </c>
      <c r="S2995">
        <f>IMAGE("https://mitra.stanford.edu/kundaje/oak/projects/neuro-variants/variant_position/credible/roussos_2024/variant_figures/roussos_2024.adolescence.Astrocyte/rs7434297_count_position.png",4,220,900)</f>
        <v/>
      </c>
      <c r="T2995">
        <f>IMAGE("https://mitra.stanford.edu/kundaje/oak/projects/neuro-variants/variant_position/credible/roussos_2024/variant_figures/roussos_2024.adolescence.Astrocyte/rs7434297_profile_position.png",4,220,900)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0.00236436916</v>
      </c>
      <c r="G2996" t="n">
        <v>0.8242283990136092</v>
      </c>
      <c r="H2996" t="n">
        <v>0.0342752588239496</v>
      </c>
      <c r="I2996" t="n">
        <v>0.0180751258880358</v>
      </c>
      <c r="J2996" t="n">
        <v>5.711657715930333e-05</v>
      </c>
      <c r="K2996" t="n">
        <v>0.9919408594311278</v>
      </c>
      <c r="L2996" t="b">
        <v>0</v>
      </c>
      <c r="M2996" t="b">
        <v>0</v>
      </c>
      <c r="N2996" t="inlineStr">
        <is>
          <t>alt</t>
        </is>
      </c>
      <c r="O2996" t="n">
        <v>30</v>
      </c>
      <c r="P2996" t="n">
        <v>0.003738</v>
      </c>
      <c r="Q2996" t="n">
        <v>-100</v>
      </c>
      <c r="R2996" t="n">
        <v>0.06085</v>
      </c>
      <c r="S2996">
        <f>IMAGE("https://mitra.stanford.edu/kundaje/oak/projects/neuro-variants/variant_position/credible/roussos_2024/variant_figures/roussos_2024.adolescence.Astrocyte/rs13146507_count_position.png",4,220,900)</f>
        <v/>
      </c>
      <c r="T2996">
        <f>IMAGE("https://mitra.stanford.edu/kundaje/oak/projects/neuro-variants/variant_position/credible/roussos_2024/variant_figures/roussos_2024.adolescence.Astrocyte/rs13146507_profile_position.png",4,220,900)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-0.03457021</v>
      </c>
      <c r="G2997" t="n">
        <v>0.3622261771542291</v>
      </c>
      <c r="H2997" t="n">
        <v>0.0280079083628263</v>
      </c>
      <c r="I2997" t="n">
        <v>0.0418608805805654</v>
      </c>
      <c r="J2997" t="n">
        <v>0.0005051479096815</v>
      </c>
      <c r="K2997" t="n">
        <v>0.9244315679814796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0.05524</v>
      </c>
      <c r="Q2997" t="n">
        <v>100</v>
      </c>
      <c r="R2997" t="n">
        <v>0.02371</v>
      </c>
      <c r="S2997">
        <f>IMAGE("https://mitra.stanford.edu/kundaje/oak/projects/neuro-variants/variant_position/credible/roussos_2024/variant_figures/roussos_2024.adolescence.Astrocyte/rs77453134_count_position.png",4,220,900)</f>
        <v/>
      </c>
      <c r="T2997">
        <f>IMAGE("https://mitra.stanford.edu/kundaje/oak/projects/neuro-variants/variant_position/credible/roussos_2024/variant_figures/roussos_2024.adolescence.Astrocyte/rs77453134_profile_position.png",4,220,900)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0.01887192126</v>
      </c>
      <c r="G2998" t="n">
        <v>0.5592396898305024</v>
      </c>
      <c r="H2998" t="n">
        <v>0.0154536536636071</v>
      </c>
      <c r="I2998" t="n">
        <v>0.2983765753147669</v>
      </c>
      <c r="J2998" t="n">
        <v>0.0003078360976767</v>
      </c>
      <c r="K2998" t="n">
        <v>0.944501147840218</v>
      </c>
      <c r="L2998" t="b">
        <v>0</v>
      </c>
      <c r="M2998" t="b">
        <v>0</v>
      </c>
      <c r="N2998" t="inlineStr">
        <is>
          <t>alt</t>
        </is>
      </c>
      <c r="O2998" t="n">
        <v>45</v>
      </c>
      <c r="P2998" t="n">
        <v>0.01617</v>
      </c>
      <c r="Q2998" t="n">
        <v>0</v>
      </c>
      <c r="R2998" t="n">
        <v>0</v>
      </c>
      <c r="S2998">
        <f>IMAGE("https://mitra.stanford.edu/kundaje/oak/projects/neuro-variants/variant_position/credible/roussos_2024/variant_figures/roussos_2024.adolescence.Astrocyte/rs10019288_count_position.png",4,220,900)</f>
        <v/>
      </c>
      <c r="T2998">
        <f>IMAGE("https://mitra.stanford.edu/kundaje/oak/projects/neuro-variants/variant_position/credible/roussos_2024/variant_figures/roussos_2024.adolescence.Astrocyte/rs10019288_profile_position.png",4,220,900)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-0.0171980569</v>
      </c>
      <c r="G2999" t="n">
        <v>0.6114069808299168</v>
      </c>
      <c r="H2999" t="n">
        <v>0.0090554265530986</v>
      </c>
      <c r="I2999" t="n">
        <v>0.8466343757281152</v>
      </c>
      <c r="J2999" t="n">
        <v>0.0005058896834109</v>
      </c>
      <c r="K2999" t="n">
        <v>0.9136190341706136</v>
      </c>
      <c r="L2999" t="b">
        <v>0</v>
      </c>
      <c r="M2999" t="b">
        <v>0</v>
      </c>
      <c r="N2999" t="inlineStr">
        <is>
          <t>ref</t>
        </is>
      </c>
      <c r="O2999" t="n">
        <v>-15</v>
      </c>
      <c r="P2999" t="n">
        <v>0.0027</v>
      </c>
      <c r="Q2999" t="n">
        <v>-100</v>
      </c>
      <c r="R2999" t="n">
        <v>0.1295</v>
      </c>
      <c r="S2999">
        <f>IMAGE("https://mitra.stanford.edu/kundaje/oak/projects/neuro-variants/variant_position/credible/roussos_2024/variant_figures/roussos_2024.adolescence.Astrocyte/rs13102895_count_position.png",4,220,900)</f>
        <v/>
      </c>
      <c r="T2999">
        <f>IMAGE("https://mitra.stanford.edu/kundaje/oak/projects/neuro-variants/variant_position/credible/roussos_2024/variant_figures/roussos_2024.adolescence.Astrocyte/rs13102895_profile_position.png",4,220,900)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-0.0192112238</v>
      </c>
      <c r="G3000" t="n">
        <v>0.5666853582322937</v>
      </c>
      <c r="H3000" t="n">
        <v>0.0289155832156083</v>
      </c>
      <c r="I3000" t="n">
        <v>0.036922002370899</v>
      </c>
      <c r="J3000" t="n">
        <v>0.0014167878230424</v>
      </c>
      <c r="K3000" t="n">
        <v>0.8597653508075316</v>
      </c>
      <c r="L3000" t="b">
        <v>0</v>
      </c>
      <c r="M3000" t="b">
        <v>0</v>
      </c>
      <c r="N3000" t="inlineStr">
        <is>
          <t>ref</t>
        </is>
      </c>
      <c r="O3000" t="n">
        <v>100</v>
      </c>
      <c r="P3000" t="n">
        <v>0.00319</v>
      </c>
      <c r="Q3000" t="n">
        <v>-80</v>
      </c>
      <c r="R3000" t="n">
        <v>0.0253</v>
      </c>
      <c r="S3000">
        <f>IMAGE("https://mitra.stanford.edu/kundaje/oak/projects/neuro-variants/variant_position/credible/roussos_2024/variant_figures/roussos_2024.adolescence.Astrocyte/rs7435170_count_position.png",4,220,900)</f>
        <v/>
      </c>
      <c r="T3000">
        <f>IMAGE("https://mitra.stanford.edu/kundaje/oak/projects/neuro-variants/variant_position/credible/roussos_2024/variant_figures/roussos_2024.adolescence.Astrocyte/rs7435170_profile_position.png",4,220,900)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0.0901803004</v>
      </c>
      <c r="G3001" t="n">
        <v>0.09306156832072569</v>
      </c>
      <c r="H3001" t="n">
        <v>0.0130382563761203</v>
      </c>
      <c r="I3001" t="n">
        <v>0.457189709214567</v>
      </c>
      <c r="J3001" t="n">
        <v>0.0333301189805061</v>
      </c>
      <c r="K3001" t="n">
        <v>0.5417901294212729</v>
      </c>
      <c r="L3001" t="b">
        <v>0</v>
      </c>
      <c r="M3001" t="b">
        <v>0</v>
      </c>
      <c r="N3001" t="inlineStr">
        <is>
          <t>alt</t>
        </is>
      </c>
      <c r="O3001" t="n">
        <v>35</v>
      </c>
      <c r="P3001" t="n">
        <v>0.0177</v>
      </c>
      <c r="Q3001" t="n">
        <v>35</v>
      </c>
      <c r="R3001" t="n">
        <v>0.1982</v>
      </c>
      <c r="S3001">
        <f>IMAGE("https://mitra.stanford.edu/kundaje/oak/projects/neuro-variants/variant_position/credible/roussos_2024/variant_figures/roussos_2024.adolescence.Astrocyte/rs7435994_count_position.png",4,220,900)</f>
        <v/>
      </c>
      <c r="T3001">
        <f>IMAGE("https://mitra.stanford.edu/kundaje/oak/projects/neuro-variants/variant_position/credible/roussos_2024/variant_figures/roussos_2024.adolescence.Astrocyte/rs7435994_profile_position.png",4,220,900)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0.0503488326</v>
      </c>
      <c r="G3002" t="n">
        <v>0.2538840839746576</v>
      </c>
      <c r="H3002" t="n">
        <v>0.0172089546625653</v>
      </c>
      <c r="I3002" t="n">
        <v>0.2214313296974651</v>
      </c>
      <c r="J3002" t="n">
        <v>0.0291324214461619</v>
      </c>
      <c r="K3002" t="n">
        <v>0.5626122797067997</v>
      </c>
      <c r="L3002" t="b">
        <v>0</v>
      </c>
      <c r="M3002" t="b">
        <v>0</v>
      </c>
      <c r="N3002" t="inlineStr">
        <is>
          <t>alt</t>
        </is>
      </c>
      <c r="O3002" t="n">
        <v>5</v>
      </c>
      <c r="P3002" t="n">
        <v>0.001526</v>
      </c>
      <c r="Q3002" t="n">
        <v>5</v>
      </c>
      <c r="R3002" t="n">
        <v>0.0083</v>
      </c>
      <c r="S3002">
        <f>IMAGE("https://mitra.stanford.edu/kundaje/oak/projects/neuro-variants/variant_position/credible/roussos_2024/variant_figures/roussos_2024.adolescence.Astrocyte/rs28581574_count_position.png",4,220,900)</f>
        <v/>
      </c>
      <c r="T3002">
        <f>IMAGE("https://mitra.stanford.edu/kundaje/oak/projects/neuro-variants/variant_position/credible/roussos_2024/variant_figures/roussos_2024.adolescence.Astrocyte/rs28581574_profile_position.png",4,220,900)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-0.01764899816</v>
      </c>
      <c r="G3003" t="n">
        <v>0.5944113569932825</v>
      </c>
      <c r="H3003" t="n">
        <v>0.0310332332231625</v>
      </c>
      <c r="I3003" t="n">
        <v>0.0271488166169979</v>
      </c>
      <c r="J3003" t="n">
        <v>0.0007439990505296</v>
      </c>
      <c r="K3003" t="n">
        <v>0.8971245692559002</v>
      </c>
      <c r="L3003" t="b">
        <v>0</v>
      </c>
      <c r="M3003" t="b">
        <v>0</v>
      </c>
      <c r="N3003" t="inlineStr">
        <is>
          <t>ref</t>
        </is>
      </c>
      <c r="O3003" t="n">
        <v>-85</v>
      </c>
      <c r="P3003" t="n">
        <v>0.008330000000000001</v>
      </c>
      <c r="Q3003" t="n">
        <v>10</v>
      </c>
      <c r="R3003" t="n">
        <v>0.0421</v>
      </c>
      <c r="S3003">
        <f>IMAGE("https://mitra.stanford.edu/kundaje/oak/projects/neuro-variants/variant_position/credible/roussos_2024/variant_figures/roussos_2024.adolescence.Astrocyte/rs35684722_count_position.png",4,220,900)</f>
        <v/>
      </c>
      <c r="T3003">
        <f>IMAGE("https://mitra.stanford.edu/kundaje/oak/projects/neuro-variants/variant_position/credible/roussos_2024/variant_figures/roussos_2024.adolescence.Astrocyte/rs35684722_profile_position.png",4,220,900)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-0.119112606</v>
      </c>
      <c r="G3004" t="n">
        <v>0.058257247728696</v>
      </c>
      <c r="H3004" t="n">
        <v>0.0179334365231555</v>
      </c>
      <c r="I3004" t="n">
        <v>0.1924483144998654</v>
      </c>
      <c r="J3004" t="n">
        <v>0.0081157463727264</v>
      </c>
      <c r="K3004" t="n">
        <v>0.6853358844302369</v>
      </c>
      <c r="L3004" t="b">
        <v>0</v>
      </c>
      <c r="M3004" t="b">
        <v>0</v>
      </c>
      <c r="N3004" t="inlineStr">
        <is>
          <t>ref</t>
        </is>
      </c>
      <c r="O3004" t="n">
        <v>-75</v>
      </c>
      <c r="P3004" t="n">
        <v>0.002361</v>
      </c>
      <c r="Q3004" t="n">
        <v>85</v>
      </c>
      <c r="R3004" t="n">
        <v>0.1157</v>
      </c>
      <c r="S3004">
        <f>IMAGE("https://mitra.stanford.edu/kundaje/oak/projects/neuro-variants/variant_position/credible/roussos_2024/variant_figures/roussos_2024.adolescence.Astrocyte/rs58186080_count_position.png",4,220,900)</f>
        <v/>
      </c>
      <c r="T3004">
        <f>IMAGE("https://mitra.stanford.edu/kundaje/oak/projects/neuro-variants/variant_position/credible/roussos_2024/variant_figures/roussos_2024.adolescence.Astrocyte/rs58186080_profile_position.png",4,220,900)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0.0261928848</v>
      </c>
      <c r="G3005" t="n">
        <v>0.1936500910559061</v>
      </c>
      <c r="H3005" t="n">
        <v>0.0142189704213564</v>
      </c>
      <c r="I3005" t="n">
        <v>0.3704333969000887</v>
      </c>
      <c r="J3005" t="n">
        <v>0.01442082307213</v>
      </c>
      <c r="K3005" t="n">
        <v>0.622984728163872</v>
      </c>
      <c r="L3005" t="b">
        <v>0</v>
      </c>
      <c r="M3005" t="b">
        <v>0</v>
      </c>
      <c r="N3005" t="inlineStr">
        <is>
          <t>alt</t>
        </is>
      </c>
      <c r="O3005" t="n">
        <v>100</v>
      </c>
      <c r="P3005" t="n">
        <v>0.01225</v>
      </c>
      <c r="Q3005" t="n">
        <v>75</v>
      </c>
      <c r="R3005" t="n">
        <v>0.2576</v>
      </c>
      <c r="S3005">
        <f>IMAGE("https://mitra.stanford.edu/kundaje/oak/projects/neuro-variants/variant_position/credible/roussos_2024/variant_figures/roussos_2024.adolescence.Astrocyte/rs10028563_count_position.png",4,220,900)</f>
        <v/>
      </c>
      <c r="T3005">
        <f>IMAGE("https://mitra.stanford.edu/kundaje/oak/projects/neuro-variants/variant_position/credible/roussos_2024/variant_figures/roussos_2024.adolescence.Astrocyte/rs10028563_profile_position.png",4,220,900)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0.0496697538</v>
      </c>
      <c r="G3006" t="n">
        <v>0.2421359679498755</v>
      </c>
      <c r="H3006" t="n">
        <v>0.0090839555449219</v>
      </c>
      <c r="I3006" t="n">
        <v>0.8278930263517992</v>
      </c>
      <c r="J3006" t="n">
        <v>0.0015161855027741</v>
      </c>
      <c r="K3006" t="n">
        <v>0.851851719841007</v>
      </c>
      <c r="L3006" t="b">
        <v>0</v>
      </c>
      <c r="M3006" t="b">
        <v>0</v>
      </c>
      <c r="N3006" t="inlineStr">
        <is>
          <t>alt</t>
        </is>
      </c>
      <c r="O3006" t="n">
        <v>-95</v>
      </c>
      <c r="P3006" t="n">
        <v>0.02777</v>
      </c>
      <c r="Q3006" t="n">
        <v>-100</v>
      </c>
      <c r="R3006" t="n">
        <v>0.1527</v>
      </c>
      <c r="S3006">
        <f>IMAGE("https://mitra.stanford.edu/kundaje/oak/projects/neuro-variants/variant_position/credible/roussos_2024/variant_figures/roussos_2024.adolescence.Astrocyte/rs6531299_count_position.png",4,220,900)</f>
        <v/>
      </c>
      <c r="T3006">
        <f>IMAGE("https://mitra.stanford.edu/kundaje/oak/projects/neuro-variants/variant_position/credible/roussos_2024/variant_figures/roussos_2024.adolescence.Astrocyte/rs6531299_profile_position.png",4,220,900)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0.0339123692</v>
      </c>
      <c r="G3007" t="n">
        <v>0.3884573309952295</v>
      </c>
      <c r="H3007" t="n">
        <v>0.0263456769335385</v>
      </c>
      <c r="I3007" t="n">
        <v>0.0517181830287839</v>
      </c>
      <c r="J3007" t="n">
        <v>0.0023224935465685</v>
      </c>
      <c r="K3007" t="n">
        <v>0.8120649342769001</v>
      </c>
      <c r="L3007" t="b">
        <v>0</v>
      </c>
      <c r="M3007" t="b">
        <v>0</v>
      </c>
      <c r="N3007" t="inlineStr">
        <is>
          <t>alt</t>
        </is>
      </c>
      <c r="O3007" t="n">
        <v>95</v>
      </c>
      <c r="P3007" t="n">
        <v>0.003044</v>
      </c>
      <c r="Q3007" t="n">
        <v>-45</v>
      </c>
      <c r="R3007" t="n">
        <v>0.05884</v>
      </c>
      <c r="S3007">
        <f>IMAGE("https://mitra.stanford.edu/kundaje/oak/projects/neuro-variants/variant_position/credible/roussos_2024/variant_figures/roussos_2024.adolescence.Astrocyte/rs67368133_count_position.png",4,220,900)</f>
        <v/>
      </c>
      <c r="T3007">
        <f>IMAGE("https://mitra.stanford.edu/kundaje/oak/projects/neuro-variants/variant_position/credible/roussos_2024/variant_figures/roussos_2024.adolescence.Astrocyte/rs67368133_profile_position.png",4,220,900)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-0.0207491097</v>
      </c>
      <c r="G3008" t="n">
        <v>0.5714969114554466</v>
      </c>
      <c r="H3008" t="n">
        <v>0.0308692280821257</v>
      </c>
      <c r="I3008" t="n">
        <v>0.0279004344430067</v>
      </c>
      <c r="J3008" t="n">
        <v>0.0013196154644986</v>
      </c>
      <c r="K3008" t="n">
        <v>0.8555331707309096</v>
      </c>
      <c r="L3008" t="b">
        <v>0</v>
      </c>
      <c r="M3008" t="b">
        <v>0</v>
      </c>
      <c r="N3008" t="inlineStr">
        <is>
          <t>ref</t>
        </is>
      </c>
      <c r="O3008" t="n">
        <v>-70</v>
      </c>
      <c r="P3008" t="n">
        <v>0.01083</v>
      </c>
      <c r="Q3008" t="n">
        <v>-35</v>
      </c>
      <c r="R3008" t="n">
        <v>0.03455</v>
      </c>
      <c r="S3008">
        <f>IMAGE("https://mitra.stanford.edu/kundaje/oak/projects/neuro-variants/variant_position/credible/roussos_2024/variant_figures/roussos_2024.adolescence.Astrocyte/rs6834907_count_position.png",4,220,900)</f>
        <v/>
      </c>
      <c r="T3008">
        <f>IMAGE("https://mitra.stanford.edu/kundaje/oak/projects/neuro-variants/variant_position/credible/roussos_2024/variant_figures/roussos_2024.adolescence.Astrocyte/rs6834907_profile_position.png",4,220,900)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0.196478912</v>
      </c>
      <c r="G3009" t="n">
        <v>0.0189565113208328</v>
      </c>
      <c r="H3009" t="n">
        <v>0.0184467578679373</v>
      </c>
      <c r="I3009" t="n">
        <v>0.178704265262272</v>
      </c>
      <c r="J3009" t="n">
        <v>0.0998798326558466</v>
      </c>
      <c r="K3009" t="n">
        <v>0.3415649295809177</v>
      </c>
      <c r="L3009" t="b">
        <v>1</v>
      </c>
      <c r="M3009" t="b">
        <v>0</v>
      </c>
      <c r="N3009" t="inlineStr">
        <is>
          <t>alt</t>
        </is>
      </c>
      <c r="O3009" t="n">
        <v>-40</v>
      </c>
      <c r="P3009" t="n">
        <v>0.007576</v>
      </c>
      <c r="Q3009" t="n">
        <v>-30</v>
      </c>
      <c r="R3009" t="n">
        <v>0.1484</v>
      </c>
      <c r="S3009">
        <f>IMAGE("https://mitra.stanford.edu/kundaje/oak/projects/neuro-variants/variant_position/credible/roussos_2024/variant_figures/roussos_2024.adolescence.Astrocyte/rs13110566_count_position.png",4,220,900)</f>
        <v/>
      </c>
      <c r="T3009">
        <f>IMAGE("https://mitra.stanford.edu/kundaje/oak/projects/neuro-variants/variant_position/credible/roussos_2024/variant_figures/roussos_2024.adolescence.Astrocyte/rs13110566_profile_position.png",4,220,900)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0.01074563114</v>
      </c>
      <c r="G3010" t="n">
        <v>0.6491719978210831</v>
      </c>
      <c r="H3010" t="n">
        <v>0.0124945595447443</v>
      </c>
      <c r="I3010" t="n">
        <v>0.5079716821053596</v>
      </c>
      <c r="J3010" t="n">
        <v>0.0082492656440079</v>
      </c>
      <c r="K3010" t="n">
        <v>0.7070783249870617</v>
      </c>
      <c r="L3010" t="b">
        <v>0</v>
      </c>
      <c r="M3010" t="b">
        <v>0</v>
      </c>
      <c r="N3010" t="inlineStr">
        <is>
          <t>alt</t>
        </is>
      </c>
      <c r="O3010" t="n">
        <v>50</v>
      </c>
      <c r="P3010" t="n">
        <v>0.00373</v>
      </c>
      <c r="Q3010" t="n">
        <v>-75</v>
      </c>
      <c r="R3010" t="n">
        <v>0.1731</v>
      </c>
      <c r="S3010">
        <f>IMAGE("https://mitra.stanford.edu/kundaje/oak/projects/neuro-variants/variant_position/credible/roussos_2024/variant_figures/roussos_2024.adolescence.Astrocyte/rs34522421_count_position.png",4,220,900)</f>
        <v/>
      </c>
      <c r="T3010">
        <f>IMAGE("https://mitra.stanford.edu/kundaje/oak/projects/neuro-variants/variant_position/credible/roussos_2024/variant_figures/roussos_2024.adolescence.Astrocyte/rs34522421_profile_position.png",4,220,900)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-0.0651062458</v>
      </c>
      <c r="G3011" t="n">
        <v>0.1730416503312186</v>
      </c>
      <c r="H3011" t="n">
        <v>0.0125686283821764</v>
      </c>
      <c r="I3011" t="n">
        <v>0.5013564571626719</v>
      </c>
      <c r="J3011" t="n">
        <v>0.0012239266534135</v>
      </c>
      <c r="K3011" t="n">
        <v>0.901136833619869</v>
      </c>
      <c r="L3011" t="b">
        <v>0</v>
      </c>
      <c r="M3011" t="b">
        <v>0</v>
      </c>
      <c r="N3011" t="inlineStr">
        <is>
          <t>ref</t>
        </is>
      </c>
      <c r="O3011" t="n">
        <v>-90</v>
      </c>
      <c r="P3011" t="n">
        <v>0.01375</v>
      </c>
      <c r="Q3011" t="n">
        <v>-80</v>
      </c>
      <c r="R3011" t="n">
        <v>0.1587</v>
      </c>
      <c r="S3011">
        <f>IMAGE("https://mitra.stanford.edu/kundaje/oak/projects/neuro-variants/variant_position/credible/roussos_2024/variant_figures/roussos_2024.adolescence.Astrocyte/rs7683171_count_position.png",4,220,900)</f>
        <v/>
      </c>
      <c r="T3011">
        <f>IMAGE("https://mitra.stanford.edu/kundaje/oak/projects/neuro-variants/variant_position/credible/roussos_2024/variant_figures/roussos_2024.adolescence.Astrocyte/rs7683171_profile_position.png",4,220,900)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-0.00347996484</v>
      </c>
      <c r="G3012" t="n">
        <v>0.7027407398706663</v>
      </c>
      <c r="H3012" t="n">
        <v>0.0115154335863174</v>
      </c>
      <c r="I3012" t="n">
        <v>0.5950755917608347</v>
      </c>
      <c r="J3012" t="n">
        <v>0.0009242500667595</v>
      </c>
      <c r="K3012" t="n">
        <v>0.8955806374522538</v>
      </c>
      <c r="L3012" t="b">
        <v>0</v>
      </c>
      <c r="M3012" t="b">
        <v>0</v>
      </c>
      <c r="N3012" t="inlineStr">
        <is>
          <t>ref</t>
        </is>
      </c>
      <c r="O3012" t="n">
        <v>65</v>
      </c>
      <c r="P3012" t="n">
        <v>0.005898</v>
      </c>
      <c r="Q3012" t="n">
        <v>-65</v>
      </c>
      <c r="R3012" t="n">
        <v>0.10614</v>
      </c>
      <c r="S3012">
        <f>IMAGE("https://mitra.stanford.edu/kundaje/oak/projects/neuro-variants/variant_position/credible/roussos_2024/variant_figures/roussos_2024.adolescence.Astrocyte/rs34250047_count_position.png",4,220,900)</f>
        <v/>
      </c>
      <c r="T3012">
        <f>IMAGE("https://mitra.stanford.edu/kundaje/oak/projects/neuro-variants/variant_position/credible/roussos_2024/variant_figures/roussos_2024.adolescence.Astrocyte/rs34250047_profile_position.png",4,220,900)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0.135799312</v>
      </c>
      <c r="G3013" t="n">
        <v>0.0420013941190302</v>
      </c>
      <c r="H3013" t="n">
        <v>0.0187030878925464</v>
      </c>
      <c r="I3013" t="n">
        <v>0.1718237249057411</v>
      </c>
      <c r="J3013" t="n">
        <v>0.0040708542266266</v>
      </c>
      <c r="K3013" t="n">
        <v>0.7583052618570136</v>
      </c>
      <c r="L3013" t="b">
        <v>0</v>
      </c>
      <c r="M3013" t="b">
        <v>0</v>
      </c>
      <c r="N3013" t="inlineStr">
        <is>
          <t>alt</t>
        </is>
      </c>
      <c r="O3013" t="n">
        <v>-100</v>
      </c>
      <c r="P3013" t="n">
        <v>0.0098</v>
      </c>
      <c r="Q3013" t="n">
        <v>-100</v>
      </c>
      <c r="R3013" t="n">
        <v>0.04883</v>
      </c>
      <c r="S3013">
        <f>IMAGE("https://mitra.stanford.edu/kundaje/oak/projects/neuro-variants/variant_position/credible/roussos_2024/variant_figures/roussos_2024.adolescence.Astrocyte/rs28731006_count_position.png",4,220,900)</f>
        <v/>
      </c>
      <c r="T3013">
        <f>IMAGE("https://mitra.stanford.edu/kundaje/oak/projects/neuro-variants/variant_position/credible/roussos_2024/variant_figures/roussos_2024.adolescence.Astrocyte/rs28731006_profile_position.png",4,220,900)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-0.1202128056</v>
      </c>
      <c r="G3014" t="n">
        <v>0.0689663925990029</v>
      </c>
      <c r="H3014" t="n">
        <v>0.0251010955250394</v>
      </c>
      <c r="I3014" t="n">
        <v>0.0642065731498537</v>
      </c>
      <c r="J3014" t="n">
        <v>0.0007477079191762</v>
      </c>
      <c r="K3014" t="n">
        <v>0.8938822132404004</v>
      </c>
      <c r="L3014" t="b">
        <v>0</v>
      </c>
      <c r="M3014" t="b">
        <v>0</v>
      </c>
      <c r="N3014" t="inlineStr">
        <is>
          <t>ref</t>
        </is>
      </c>
      <c r="O3014" t="n">
        <v>-90</v>
      </c>
      <c r="P3014" t="n">
        <v>0.0058</v>
      </c>
      <c r="Q3014" t="n">
        <v>-70</v>
      </c>
      <c r="R3014" t="n">
        <v>0.0654</v>
      </c>
      <c r="S3014">
        <f>IMAGE("https://mitra.stanford.edu/kundaje/oak/projects/neuro-variants/variant_position/credible/roussos_2024/variant_figures/roussos_2024.adolescence.Astrocyte/rs34202234_count_position.png",4,220,900)</f>
        <v/>
      </c>
      <c r="T3014">
        <f>IMAGE("https://mitra.stanford.edu/kundaje/oak/projects/neuro-variants/variant_position/credible/roussos_2024/variant_figures/roussos_2024.adolescence.Astrocyte/rs34202234_profile_position.png",4,220,900)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-0.01148997916</v>
      </c>
      <c r="G3015" t="n">
        <v>0.7204124834546873</v>
      </c>
      <c r="H3015" t="n">
        <v>0.0090635666814306</v>
      </c>
      <c r="I3015" t="n">
        <v>0.8534261165506467</v>
      </c>
      <c r="J3015" t="n">
        <v>0.0085934486544224</v>
      </c>
      <c r="K3015" t="n">
        <v>0.6767983277876894</v>
      </c>
      <c r="L3015" t="b">
        <v>0</v>
      </c>
      <c r="M3015" t="b">
        <v>0</v>
      </c>
      <c r="N3015" t="inlineStr">
        <is>
          <t>ref</t>
        </is>
      </c>
      <c r="O3015" t="n">
        <v>15</v>
      </c>
      <c r="P3015" t="n">
        <v>0.002724</v>
      </c>
      <c r="Q3015" t="n">
        <v>-95</v>
      </c>
      <c r="R3015" t="n">
        <v>0.1228</v>
      </c>
      <c r="S3015">
        <f>IMAGE("https://mitra.stanford.edu/kundaje/oak/projects/neuro-variants/variant_position/credible/roussos_2024/variant_figures/roussos_2024.adolescence.Astrocyte/rs4266314_count_position.png",4,220,900)</f>
        <v/>
      </c>
      <c r="T3015">
        <f>IMAGE("https://mitra.stanford.edu/kundaje/oak/projects/neuro-variants/variant_position/credible/roussos_2024/variant_figures/roussos_2024.adolescence.Astrocyte/rs4266314_profile_position.png",4,220,900)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-0.005087819512</v>
      </c>
      <c r="G3016" t="n">
        <v>0.8359007079552404</v>
      </c>
      <c r="H3016" t="n">
        <v>0.008803628596115999</v>
      </c>
      <c r="I3016" t="n">
        <v>0.8587071186175282</v>
      </c>
      <c r="J3016" t="n">
        <v>0.0001439041034922</v>
      </c>
      <c r="K3016" t="n">
        <v>0.9707451486919696</v>
      </c>
      <c r="L3016" t="b">
        <v>0</v>
      </c>
      <c r="M3016" t="b">
        <v>0</v>
      </c>
      <c r="N3016" t="inlineStr">
        <is>
          <t>ref</t>
        </is>
      </c>
      <c r="O3016" t="n">
        <v>-40</v>
      </c>
      <c r="P3016" t="n">
        <v>0.00869</v>
      </c>
      <c r="Q3016" t="n">
        <v>55</v>
      </c>
      <c r="R3016" t="n">
        <v>0.07166</v>
      </c>
      <c r="S3016">
        <f>IMAGE("https://mitra.stanford.edu/kundaje/oak/projects/neuro-variants/variant_position/credible/roussos_2024/variant_figures/roussos_2024.adolescence.Astrocyte/rs34352361_count_position.png",4,220,900)</f>
        <v/>
      </c>
      <c r="T3016">
        <f>IMAGE("https://mitra.stanford.edu/kundaje/oak/projects/neuro-variants/variant_position/credible/roussos_2024/variant_figures/roussos_2024.adolescence.Astrocyte/rs34352361_profile_position.png",4,220,900)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0.1093251771999999</v>
      </c>
      <c r="G3017" t="n">
        <v>0.0691316529198604</v>
      </c>
      <c r="H3017" t="n">
        <v>0.0155560994764708</v>
      </c>
      <c r="I3017" t="n">
        <v>0.292675299512267</v>
      </c>
      <c r="J3017" t="n">
        <v>0.0014961576120819</v>
      </c>
      <c r="K3017" t="n">
        <v>0.8602942164354926</v>
      </c>
      <c r="L3017" t="b">
        <v>0</v>
      </c>
      <c r="M3017" t="b">
        <v>0</v>
      </c>
      <c r="N3017" t="inlineStr">
        <is>
          <t>alt</t>
        </is>
      </c>
      <c r="O3017" t="n">
        <v>-100</v>
      </c>
      <c r="P3017" t="n">
        <v>0.01488</v>
      </c>
      <c r="Q3017" t="n">
        <v>-100</v>
      </c>
      <c r="R3017" t="n">
        <v>0.0481</v>
      </c>
      <c r="S3017">
        <f>IMAGE("https://mitra.stanford.edu/kundaje/oak/projects/neuro-variants/variant_position/credible/roussos_2024/variant_figures/roussos_2024.adolescence.Astrocyte/rs35210319_count_position.png",4,220,900)</f>
        <v/>
      </c>
      <c r="T3017">
        <f>IMAGE("https://mitra.stanford.edu/kundaje/oak/projects/neuro-variants/variant_position/credible/roussos_2024/variant_figures/roussos_2024.adolescence.Astrocyte/rs35210319_profile_position.png",4,220,900)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0.0590579846</v>
      </c>
      <c r="G3018" t="n">
        <v>0.1838796194411017</v>
      </c>
      <c r="H3018" t="n">
        <v>0.0146693628361695</v>
      </c>
      <c r="I3018" t="n">
        <v>0.3454995945375777</v>
      </c>
      <c r="J3018" t="n">
        <v>0.0013047799899118</v>
      </c>
      <c r="K3018" t="n">
        <v>0.8665470221920337</v>
      </c>
      <c r="L3018" t="b">
        <v>0</v>
      </c>
      <c r="M3018" t="b">
        <v>0</v>
      </c>
      <c r="N3018" t="inlineStr">
        <is>
          <t>alt</t>
        </is>
      </c>
      <c r="O3018" t="n">
        <v>-100</v>
      </c>
      <c r="P3018" t="n">
        <v>0.00586</v>
      </c>
      <c r="Q3018" t="n">
        <v>-100</v>
      </c>
      <c r="R3018" t="n">
        <v>0.1074</v>
      </c>
      <c r="S3018">
        <f>IMAGE("https://mitra.stanford.edu/kundaje/oak/projects/neuro-variants/variant_position/credible/roussos_2024/variant_figures/roussos_2024.adolescence.Astrocyte/rs4645234_count_position.png",4,220,900)</f>
        <v/>
      </c>
      <c r="T3018">
        <f>IMAGE("https://mitra.stanford.edu/kundaje/oak/projects/neuro-variants/variant_position/credible/roussos_2024/variant_figures/roussos_2024.adolescence.Astrocyte/rs4645234_profile_position.png",4,220,900)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-0.128465276</v>
      </c>
      <c r="G3019" t="n">
        <v>0.0489573686189311</v>
      </c>
      <c r="H3019" t="n">
        <v>0.0154346330161649</v>
      </c>
      <c r="I3019" t="n">
        <v>0.3031415417192356</v>
      </c>
      <c r="J3019" t="n">
        <v>0.0054238495089457</v>
      </c>
      <c r="K3019" t="n">
        <v>0.7494842579035154</v>
      </c>
      <c r="L3019" t="b">
        <v>0</v>
      </c>
      <c r="M3019" t="b">
        <v>0</v>
      </c>
      <c r="N3019" t="inlineStr">
        <is>
          <t>ref</t>
        </is>
      </c>
      <c r="O3019" t="n">
        <v>90</v>
      </c>
      <c r="P3019" t="n">
        <v>0.005985</v>
      </c>
      <c r="Q3019" t="n">
        <v>-20</v>
      </c>
      <c r="R3019" t="n">
        <v>0.05237</v>
      </c>
      <c r="S3019">
        <f>IMAGE("https://mitra.stanford.edu/kundaje/oak/projects/neuro-variants/variant_position/credible/roussos_2024/variant_figures/roussos_2024.adolescence.Astrocyte/rs6841728_count_position.png",4,220,900)</f>
        <v/>
      </c>
      <c r="T3019">
        <f>IMAGE("https://mitra.stanford.edu/kundaje/oak/projects/neuro-variants/variant_position/credible/roussos_2024/variant_figures/roussos_2024.adolescence.Astrocyte/rs6841728_profile_position.png",4,220,900)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-0.00264858967</v>
      </c>
      <c r="G3020" t="n">
        <v>0.8377373032265027</v>
      </c>
      <c r="H3020" t="n">
        <v>0.0106763271509946</v>
      </c>
      <c r="I3020" t="n">
        <v>0.690780385072044</v>
      </c>
      <c r="J3020" t="n">
        <v>0.0014012105747262</v>
      </c>
      <c r="K3020" t="n">
        <v>0.8996287911808504</v>
      </c>
      <c r="L3020" t="b">
        <v>0</v>
      </c>
      <c r="M3020" t="b">
        <v>0</v>
      </c>
      <c r="N3020" t="inlineStr">
        <is>
          <t>ref</t>
        </is>
      </c>
      <c r="O3020" t="n">
        <v>35</v>
      </c>
      <c r="P3020" t="n">
        <v>0.04504</v>
      </c>
      <c r="Q3020" t="n">
        <v>-5</v>
      </c>
      <c r="R3020" t="n">
        <v>0.0349</v>
      </c>
      <c r="S3020">
        <f>IMAGE("https://mitra.stanford.edu/kundaje/oak/projects/neuro-variants/variant_position/credible/roussos_2024/variant_figures/roussos_2024.adolescence.Astrocyte/rs9968413_count_position.png",4,220,900)</f>
        <v/>
      </c>
      <c r="T3020">
        <f>IMAGE("https://mitra.stanford.edu/kundaje/oak/projects/neuro-variants/variant_position/credible/roussos_2024/variant_figures/roussos_2024.adolescence.Astrocyte/rs9968413_profile_position.png",4,220,900)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-0.345383094</v>
      </c>
      <c r="G3021" t="n">
        <v>0.0049566000040873</v>
      </c>
      <c r="H3021" t="n">
        <v>0.040223809511085</v>
      </c>
      <c r="I3021" t="n">
        <v>0.010329223168399</v>
      </c>
      <c r="J3021" t="n">
        <v>0.0754606414859211</v>
      </c>
      <c r="K3021" t="n">
        <v>0.3764737702557103</v>
      </c>
      <c r="L3021" t="b">
        <v>1</v>
      </c>
      <c r="M3021" t="b">
        <v>1</v>
      </c>
      <c r="N3021" t="inlineStr">
        <is>
          <t>ref</t>
        </is>
      </c>
      <c r="O3021" t="n">
        <v>95</v>
      </c>
      <c r="P3021" t="n">
        <v>0.03625</v>
      </c>
      <c r="Q3021" t="n">
        <v>65</v>
      </c>
      <c r="R3021" t="n">
        <v>0.07886</v>
      </c>
      <c r="S3021">
        <f>IMAGE("https://mitra.stanford.edu/kundaje/oak/projects/neuro-variants/variant_position/credible/roussos_2024/variant_figures/roussos_2024.adolescence.Astrocyte/rs4547813_count_position.png",4,220,900)</f>
        <v/>
      </c>
      <c r="T3021">
        <f>IMAGE("https://mitra.stanford.edu/kundaje/oak/projects/neuro-variants/variant_position/credible/roussos_2024/variant_figures/roussos_2024.adolescence.Astrocyte/rs4547813_profile_position.png",4,220,900)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-0.0477321421999999</v>
      </c>
      <c r="G3022" t="n">
        <v>0.2574889805780497</v>
      </c>
      <c r="H3022" t="n">
        <v>0.0163024460297966</v>
      </c>
      <c r="I3022" t="n">
        <v>0.2591718081569055</v>
      </c>
      <c r="J3022" t="n">
        <v>5.118238732457051e-05</v>
      </c>
      <c r="K3022" t="n">
        <v>0.9940900354092412</v>
      </c>
      <c r="L3022" t="b">
        <v>0</v>
      </c>
      <c r="M3022" t="b">
        <v>0</v>
      </c>
      <c r="N3022" t="inlineStr">
        <is>
          <t>ref</t>
        </is>
      </c>
      <c r="O3022" t="n">
        <v>-100</v>
      </c>
      <c r="P3022" t="n">
        <v>0.01921</v>
      </c>
      <c r="Q3022" t="n">
        <v>-30</v>
      </c>
      <c r="R3022" t="n">
        <v>0.0282</v>
      </c>
      <c r="S3022">
        <f>IMAGE("https://mitra.stanford.edu/kundaje/oak/projects/neuro-variants/variant_position/credible/roussos_2024/variant_figures/roussos_2024.adolescence.Astrocyte/rs13131483_count_position.png",4,220,900)</f>
        <v/>
      </c>
      <c r="T3022">
        <f>IMAGE("https://mitra.stanford.edu/kundaje/oak/projects/neuro-variants/variant_position/credible/roussos_2024/variant_figures/roussos_2024.adolescence.Astrocyte/rs13131483_profile_position.png",4,220,900)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0.0714587708</v>
      </c>
      <c r="G3023" t="n">
        <v>0.1375208529810322</v>
      </c>
      <c r="H3023" t="n">
        <v>0.0188140987577956</v>
      </c>
      <c r="I3023" t="n">
        <v>0.1682179210762104</v>
      </c>
      <c r="J3023" t="n">
        <v>0.0094516808592706</v>
      </c>
      <c r="K3023" t="n">
        <v>0.6681054351701694</v>
      </c>
      <c r="L3023" t="b">
        <v>0</v>
      </c>
      <c r="M3023" t="b">
        <v>0</v>
      </c>
      <c r="N3023" t="inlineStr">
        <is>
          <t>alt</t>
        </is>
      </c>
      <c r="O3023" t="n">
        <v>45</v>
      </c>
      <c r="P3023" t="n">
        <v>0.003967</v>
      </c>
      <c r="Q3023" t="n">
        <v>-100</v>
      </c>
      <c r="R3023" t="n">
        <v>0.1124</v>
      </c>
      <c r="S3023">
        <f>IMAGE("https://mitra.stanford.edu/kundaje/oak/projects/neuro-variants/variant_position/credible/roussos_2024/variant_figures/roussos_2024.adolescence.Astrocyte/rs13118944_count_position.png",4,220,900)</f>
        <v/>
      </c>
      <c r="T3023">
        <f>IMAGE("https://mitra.stanford.edu/kundaje/oak/projects/neuro-variants/variant_position/credible/roussos_2024/variant_figures/roussos_2024.adolescence.Astrocyte/rs13118944_profile_position.png",4,220,900)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-0.007065629068</v>
      </c>
      <c r="G3024" t="n">
        <v>0.7803754779905746</v>
      </c>
      <c r="H3024" t="n">
        <v>0.0150323011567593</v>
      </c>
      <c r="I3024" t="n">
        <v>0.3227567163050198</v>
      </c>
      <c r="J3024" t="n">
        <v>0.0003093196451354</v>
      </c>
      <c r="K3024" t="n">
        <v>0.9480263563167164</v>
      </c>
      <c r="L3024" t="b">
        <v>0</v>
      </c>
      <c r="M3024" t="b">
        <v>0</v>
      </c>
      <c r="N3024" t="inlineStr">
        <is>
          <t>ref</t>
        </is>
      </c>
      <c r="O3024" t="n">
        <v>-10</v>
      </c>
      <c r="P3024" t="n">
        <v>0.002075</v>
      </c>
      <c r="Q3024" t="n">
        <v>-60</v>
      </c>
      <c r="R3024" t="n">
        <v>0.0851</v>
      </c>
      <c r="S3024">
        <f>IMAGE("https://mitra.stanford.edu/kundaje/oak/projects/neuro-variants/variant_position/credible/roussos_2024/variant_figures/roussos_2024.adolescence.Astrocyte/rs10010448_count_position.png",4,220,900)</f>
        <v/>
      </c>
      <c r="T3024">
        <f>IMAGE("https://mitra.stanford.edu/kundaje/oak/projects/neuro-variants/variant_position/credible/roussos_2024/variant_figures/roussos_2024.adolescence.Astrocyte/rs10010448_profile_position.png",4,220,900)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-0.0503307198</v>
      </c>
      <c r="G3025" t="n">
        <v>0.1658258134377424</v>
      </c>
      <c r="H3025" t="n">
        <v>0.0162888953055986</v>
      </c>
      <c r="I3025" t="n">
        <v>0.2701283115511915</v>
      </c>
      <c r="J3025" t="n">
        <v>0.0043594042073405</v>
      </c>
      <c r="K3025" t="n">
        <v>0.7624933782767576</v>
      </c>
      <c r="L3025" t="b">
        <v>0</v>
      </c>
      <c r="M3025" t="b">
        <v>0</v>
      </c>
      <c r="N3025" t="inlineStr">
        <is>
          <t>ref</t>
        </is>
      </c>
      <c r="O3025" t="n">
        <v>-20</v>
      </c>
      <c r="P3025" t="n">
        <v>0.01831</v>
      </c>
      <c r="Q3025" t="n">
        <v>-55</v>
      </c>
      <c r="R3025" t="n">
        <v>0.1545</v>
      </c>
      <c r="S3025">
        <f>IMAGE("https://mitra.stanford.edu/kundaje/oak/projects/neuro-variants/variant_position/credible/roussos_2024/variant_figures/roussos_2024.adolescence.Astrocyte/rs7672284_count_position.png",4,220,900)</f>
        <v/>
      </c>
      <c r="T3025">
        <f>IMAGE("https://mitra.stanford.edu/kundaje/oak/projects/neuro-variants/variant_position/credible/roussos_2024/variant_figures/roussos_2024.adolescence.Astrocyte/rs7672284_profile_position.png",4,220,900)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-0.183217022</v>
      </c>
      <c r="G3026" t="n">
        <v>0.0227606796355226</v>
      </c>
      <c r="H3026" t="n">
        <v>0.0255226221136399</v>
      </c>
      <c r="I3026" t="n">
        <v>0.0596176692913632</v>
      </c>
      <c r="J3026" t="n">
        <v>0.0072760585111117</v>
      </c>
      <c r="K3026" t="n">
        <v>0.7005344862333156</v>
      </c>
      <c r="L3026" t="b">
        <v>0</v>
      </c>
      <c r="M3026" t="b">
        <v>0</v>
      </c>
      <c r="N3026" t="inlineStr">
        <is>
          <t>ref</t>
        </is>
      </c>
      <c r="O3026" t="n">
        <v>15</v>
      </c>
      <c r="P3026" t="n">
        <v>0.001205</v>
      </c>
      <c r="Q3026" t="n">
        <v>5</v>
      </c>
      <c r="R3026" t="n">
        <v>0.00659</v>
      </c>
      <c r="S3026">
        <f>IMAGE("https://mitra.stanford.edu/kundaje/oak/projects/neuro-variants/variant_position/credible/roussos_2024/variant_figures/roussos_2024.adolescence.Astrocyte/rs28668075_count_position.png",4,220,900)</f>
        <v/>
      </c>
      <c r="T3026">
        <f>IMAGE("https://mitra.stanford.edu/kundaje/oak/projects/neuro-variants/variant_position/credible/roussos_2024/variant_figures/roussos_2024.adolescence.Astrocyte/rs28668075_profile_position.png",4,220,900)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0.0666729836</v>
      </c>
      <c r="G3027" t="n">
        <v>0.1630015981006602</v>
      </c>
      <c r="H3027" t="n">
        <v>0.0125969320417275</v>
      </c>
      <c r="I3027" t="n">
        <v>0.5007263669102163</v>
      </c>
      <c r="J3027" t="n">
        <v>0.0127585081446755</v>
      </c>
      <c r="K3027" t="n">
        <v>0.635943280736083</v>
      </c>
      <c r="L3027" t="b">
        <v>0</v>
      </c>
      <c r="M3027" t="b">
        <v>0</v>
      </c>
      <c r="N3027" t="inlineStr">
        <is>
          <t>alt</t>
        </is>
      </c>
      <c r="O3027" t="n">
        <v>95</v>
      </c>
      <c r="P3027" t="n">
        <v>0.011444</v>
      </c>
      <c r="Q3027" t="n">
        <v>75</v>
      </c>
      <c r="R3027" t="n">
        <v>0.1641</v>
      </c>
      <c r="S3027">
        <f>IMAGE("https://mitra.stanford.edu/kundaje/oak/projects/neuro-variants/variant_position/credible/roussos_2024/variant_figures/roussos_2024.adolescence.Astrocyte/rs919019_count_position.png",4,220,900)</f>
        <v/>
      </c>
      <c r="T3027">
        <f>IMAGE("https://mitra.stanford.edu/kundaje/oak/projects/neuro-variants/variant_position/credible/roussos_2024/variant_figures/roussos_2024.adolescence.Astrocyte/rs919019_profile_position.png",4,220,900)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-0.0426354848</v>
      </c>
      <c r="G3028" t="n">
        <v>0.3099020467107261</v>
      </c>
      <c r="H3028" t="n">
        <v>0.0310523748715336</v>
      </c>
      <c r="I3028" t="n">
        <v>0.0270916379302835</v>
      </c>
      <c r="J3028" t="n">
        <v>0.0208801887072367</v>
      </c>
      <c r="K3028" t="n">
        <v>0.5762493065355803</v>
      </c>
      <c r="L3028" t="b">
        <v>0</v>
      </c>
      <c r="M3028" t="b">
        <v>0</v>
      </c>
      <c r="N3028" t="inlineStr">
        <is>
          <t>ref</t>
        </is>
      </c>
      <c r="O3028" t="n">
        <v>100</v>
      </c>
      <c r="P3028" t="n">
        <v>0.00788</v>
      </c>
      <c r="Q3028" t="n">
        <v>10</v>
      </c>
      <c r="R3028" t="n">
        <v>0.0738</v>
      </c>
      <c r="S3028">
        <f>IMAGE("https://mitra.stanford.edu/kundaje/oak/projects/neuro-variants/variant_position/credible/roussos_2024/variant_figures/roussos_2024.adolescence.Astrocyte/rs919018_count_position.png",4,220,900)</f>
        <v/>
      </c>
      <c r="T3028">
        <f>IMAGE("https://mitra.stanford.edu/kundaje/oak/projects/neuro-variants/variant_position/credible/roussos_2024/variant_figures/roussos_2024.adolescence.Astrocyte/rs919018_profile_position.png",4,220,900)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-0.0002046032399999</v>
      </c>
      <c r="G3029" t="n">
        <v>0.9317576068175289</v>
      </c>
      <c r="H3029" t="n">
        <v>0.0217828145800795</v>
      </c>
      <c r="I3029" t="n">
        <v>0.1032062861205026</v>
      </c>
      <c r="J3029" t="n">
        <v>0.0053697000267037</v>
      </c>
      <c r="K3029" t="n">
        <v>0.7495046133571479</v>
      </c>
      <c r="L3029" t="b">
        <v>0</v>
      </c>
      <c r="M3029" t="b">
        <v>0</v>
      </c>
      <c r="N3029" t="inlineStr">
        <is>
          <t>ref</t>
        </is>
      </c>
      <c r="O3029" t="n">
        <v>75</v>
      </c>
      <c r="P3029" t="n">
        <v>0.01109</v>
      </c>
      <c r="Q3029" t="n">
        <v>-65</v>
      </c>
      <c r="R3029" t="n">
        <v>0.08887</v>
      </c>
      <c r="S3029">
        <f>IMAGE("https://mitra.stanford.edu/kundaje/oak/projects/neuro-variants/variant_position/credible/roussos_2024/variant_figures/roussos_2024.adolescence.Astrocyte/rs35418312_count_position.png",4,220,900)</f>
        <v/>
      </c>
      <c r="T3029">
        <f>IMAGE("https://mitra.stanford.edu/kundaje/oak/projects/neuro-variants/variant_position/credible/roussos_2024/variant_figures/roussos_2024.adolescence.Astrocyte/rs35418312_profile_position.png",4,220,900)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0.0297362932199999</v>
      </c>
      <c r="G3030" t="n">
        <v>0.4242745313585792</v>
      </c>
      <c r="H3030" t="n">
        <v>0.0375673092043129</v>
      </c>
      <c r="I3030" t="n">
        <v>0.0124016888087365</v>
      </c>
      <c r="J3030" t="n">
        <v>0.007963682758211301</v>
      </c>
      <c r="K3030" t="n">
        <v>0.7098320705274932</v>
      </c>
      <c r="L3030" t="b">
        <v>0</v>
      </c>
      <c r="M3030" t="b">
        <v>0</v>
      </c>
      <c r="N3030" t="inlineStr">
        <is>
          <t>alt</t>
        </is>
      </c>
      <c r="O3030" t="n">
        <v>85</v>
      </c>
      <c r="P3030" t="n">
        <v>0.0031</v>
      </c>
      <c r="Q3030" t="n">
        <v>85</v>
      </c>
      <c r="R3030" t="n">
        <v>0.1356</v>
      </c>
      <c r="S3030">
        <f>IMAGE("https://mitra.stanford.edu/kundaje/oak/projects/neuro-variants/variant_position/credible/roussos_2024/variant_figures/roussos_2024.adolescence.Astrocyte/rs13135298_count_position.png",4,220,900)</f>
        <v/>
      </c>
      <c r="T3030">
        <f>IMAGE("https://mitra.stanford.edu/kundaje/oak/projects/neuro-variants/variant_position/credible/roussos_2024/variant_figures/roussos_2024.adolescence.Astrocyte/rs13135298_profile_position.png",4,220,900)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-0.033886738</v>
      </c>
      <c r="G3031" t="n">
        <v>0.2590474430729498</v>
      </c>
      <c r="H3031" t="n">
        <v>0.0151248168634127</v>
      </c>
      <c r="I3031" t="n">
        <v>0.3209266541825767</v>
      </c>
      <c r="J3031" t="n">
        <v>0.0900416876835889</v>
      </c>
      <c r="K3031" t="n">
        <v>0.3625122286771318</v>
      </c>
      <c r="L3031" t="b">
        <v>0</v>
      </c>
      <c r="M3031" t="b">
        <v>0</v>
      </c>
      <c r="N3031" t="inlineStr">
        <is>
          <t>ref</t>
        </is>
      </c>
      <c r="O3031" t="n">
        <v>-50</v>
      </c>
      <c r="P3031" t="n">
        <v>0.02301</v>
      </c>
      <c r="Q3031" t="n">
        <v>-55</v>
      </c>
      <c r="R3031" t="n">
        <v>0.2109</v>
      </c>
      <c r="S3031">
        <f>IMAGE("https://mitra.stanford.edu/kundaje/oak/projects/neuro-variants/variant_position/credible/roussos_2024/variant_figures/roussos_2024.adolescence.Astrocyte/rs61262296_count_position.png",4,220,900)</f>
        <v/>
      </c>
      <c r="T3031">
        <f>IMAGE("https://mitra.stanford.edu/kundaje/oak/projects/neuro-variants/variant_position/credible/roussos_2024/variant_figures/roussos_2024.adolescence.Astrocyte/rs61262296_profile_position.png",4,220,900)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0.0197646465999999</v>
      </c>
      <c r="G3032" t="n">
        <v>0.5338670331875137</v>
      </c>
      <c r="H3032" t="n">
        <v>0.0247600500563827</v>
      </c>
      <c r="I3032" t="n">
        <v>0.0647446888849452</v>
      </c>
      <c r="J3032" t="n">
        <v>0.0036435925585258</v>
      </c>
      <c r="K3032" t="n">
        <v>0.773398711272466</v>
      </c>
      <c r="L3032" t="b">
        <v>0</v>
      </c>
      <c r="M3032" t="b">
        <v>0</v>
      </c>
      <c r="N3032" t="inlineStr">
        <is>
          <t>alt</t>
        </is>
      </c>
      <c r="O3032" t="n">
        <v>0</v>
      </c>
      <c r="P3032" t="n">
        <v>0</v>
      </c>
      <c r="Q3032" t="n">
        <v>-50</v>
      </c>
      <c r="R3032" t="n">
        <v>0.04755</v>
      </c>
      <c r="S3032">
        <f>IMAGE("https://mitra.stanford.edu/kundaje/oak/projects/neuro-variants/variant_position/credible/roussos_2024/variant_figures/roussos_2024.adolescence.Astrocyte/rs7685673_count_position.png",4,220,900)</f>
        <v/>
      </c>
      <c r="T3032">
        <f>IMAGE("https://mitra.stanford.edu/kundaje/oak/projects/neuro-variants/variant_position/credible/roussos_2024/variant_figures/roussos_2024.adolescence.Astrocyte/rs7685673_profile_position.png",4,220,900)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-0.141626189</v>
      </c>
      <c r="G3033" t="n">
        <v>0.0418983277720057</v>
      </c>
      <c r="H3033" t="n">
        <v>0.0299443032178819</v>
      </c>
      <c r="I3033" t="n">
        <v>0.0365265023486145</v>
      </c>
      <c r="J3033" t="n">
        <v>0.2506267988012936</v>
      </c>
      <c r="K3033" t="n">
        <v>0.1650205643886999</v>
      </c>
      <c r="L3033" t="b">
        <v>0</v>
      </c>
      <c r="M3033" t="b">
        <v>0</v>
      </c>
      <c r="N3033" t="inlineStr">
        <is>
          <t>ref</t>
        </is>
      </c>
      <c r="O3033" t="n">
        <v>-100</v>
      </c>
      <c r="P3033" t="n">
        <v>0.0048</v>
      </c>
      <c r="Q3033" t="n">
        <v>-60</v>
      </c>
      <c r="R3033" t="n">
        <v>0.0559</v>
      </c>
      <c r="S3033">
        <f>IMAGE("https://mitra.stanford.edu/kundaje/oak/projects/neuro-variants/variant_position/credible/roussos_2024/variant_figures/roussos_2024.adolescence.Astrocyte/rs111284769_count_position.png",4,220,900)</f>
        <v/>
      </c>
      <c r="T3033">
        <f>IMAGE("https://mitra.stanford.edu/kundaje/oak/projects/neuro-variants/variant_position/credible/roussos_2024/variant_figures/roussos_2024.adolescence.Astrocyte/rs111284769_profile_position.png",4,220,900)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-0.0261705937999999</v>
      </c>
      <c r="G3034" t="n">
        <v>0.4507132499174966</v>
      </c>
      <c r="H3034" t="n">
        <v>0.0201179979290915</v>
      </c>
      <c r="I3034" t="n">
        <v>0.1336424931122974</v>
      </c>
      <c r="J3034" t="n">
        <v>0.2422722012877191</v>
      </c>
      <c r="K3034" t="n">
        <v>0.1708193797046519</v>
      </c>
      <c r="L3034" t="b">
        <v>0</v>
      </c>
      <c r="M3034" t="b">
        <v>0</v>
      </c>
      <c r="N3034" t="inlineStr">
        <is>
          <t>ref</t>
        </is>
      </c>
      <c r="O3034" t="n">
        <v>-100</v>
      </c>
      <c r="P3034" t="n">
        <v>0.005844</v>
      </c>
      <c r="Q3034" t="n">
        <v>-75</v>
      </c>
      <c r="R3034" t="n">
        <v>0.11646</v>
      </c>
      <c r="S3034">
        <f>IMAGE("https://mitra.stanford.edu/kundaje/oak/projects/neuro-variants/variant_position/credible/roussos_2024/variant_figures/roussos_2024.adolescence.Astrocyte/rs112181396_count_position.png",4,220,900)</f>
        <v/>
      </c>
      <c r="T3034">
        <f>IMAGE("https://mitra.stanford.edu/kundaje/oak/projects/neuro-variants/variant_position/credible/roussos_2024/variant_figures/roussos_2024.adolescence.Astrocyte/rs112181396_profile_position.png",4,220,900)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0.0384688104</v>
      </c>
      <c r="G3035" t="n">
        <v>0.2797614956840624</v>
      </c>
      <c r="H3035" t="n">
        <v>0.0256407148641641</v>
      </c>
      <c r="I3035" t="n">
        <v>0.0577872543581052</v>
      </c>
      <c r="J3035" t="n">
        <v>0.0007677358098685</v>
      </c>
      <c r="K3035" t="n">
        <v>0.9142633291082368</v>
      </c>
      <c r="L3035" t="b">
        <v>0</v>
      </c>
      <c r="M3035" t="b">
        <v>0</v>
      </c>
      <c r="N3035" t="inlineStr">
        <is>
          <t>alt</t>
        </is>
      </c>
      <c r="O3035" t="n">
        <v>-5</v>
      </c>
      <c r="P3035" t="n">
        <v>0.0001221</v>
      </c>
      <c r="Q3035" t="n">
        <v>40</v>
      </c>
      <c r="R3035" t="n">
        <v>0.07854999999999999</v>
      </c>
      <c r="S3035">
        <f>IMAGE("https://mitra.stanford.edu/kundaje/oak/projects/neuro-variants/variant_position/credible/roussos_2024/variant_figures/roussos_2024.adolescence.Astrocyte/rs35781550_count_position.png",4,220,900)</f>
        <v/>
      </c>
      <c r="T3035">
        <f>IMAGE("https://mitra.stanford.edu/kundaje/oak/projects/neuro-variants/variant_position/credible/roussos_2024/variant_figures/roussos_2024.adolescence.Astrocyte/rs35781550_profile_position.png",4,220,900)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-0.0438723302</v>
      </c>
      <c r="G3036" t="n">
        <v>0.2864692360893148</v>
      </c>
      <c r="H3036" t="n">
        <v>0.0136485974236325</v>
      </c>
      <c r="I3036" t="n">
        <v>0.4123927135874125</v>
      </c>
      <c r="J3036" t="n">
        <v>0.0016051983502951</v>
      </c>
      <c r="K3036" t="n">
        <v>0.8582260892907253</v>
      </c>
      <c r="L3036" t="b">
        <v>0</v>
      </c>
      <c r="M3036" t="b">
        <v>0</v>
      </c>
      <c r="N3036" t="inlineStr">
        <is>
          <t>ref</t>
        </is>
      </c>
      <c r="O3036" t="n">
        <v>-60</v>
      </c>
      <c r="P3036" t="n">
        <v>0.01472</v>
      </c>
      <c r="Q3036" t="n">
        <v>-100</v>
      </c>
      <c r="R3036" t="n">
        <v>0.08594</v>
      </c>
      <c r="S3036">
        <f>IMAGE("https://mitra.stanford.edu/kundaje/oak/projects/neuro-variants/variant_position/credible/roussos_2024/variant_figures/roussos_2024.adolescence.Astrocyte/rs36044581_count_position.png",4,220,900)</f>
        <v/>
      </c>
      <c r="T3036">
        <f>IMAGE("https://mitra.stanford.edu/kundaje/oak/projects/neuro-variants/variant_position/credible/roussos_2024/variant_figures/roussos_2024.adolescence.Astrocyte/rs36044581_profile_position.png",4,220,900)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0.0292706716</v>
      </c>
      <c r="G3037" t="n">
        <v>0.2747529274805298</v>
      </c>
      <c r="H3037" t="n">
        <v>0.0149662745076775</v>
      </c>
      <c r="I3037" t="n">
        <v>0.3273269414940207</v>
      </c>
      <c r="J3037" t="n">
        <v>0.0034299617244755</v>
      </c>
      <c r="K3037" t="n">
        <v>0.7782706175759618</v>
      </c>
      <c r="L3037" t="b">
        <v>0</v>
      </c>
      <c r="M3037" t="b">
        <v>0</v>
      </c>
      <c r="N3037" t="inlineStr">
        <is>
          <t>alt</t>
        </is>
      </c>
      <c r="O3037" t="n">
        <v>35</v>
      </c>
      <c r="P3037" t="n">
        <v>0.0009117</v>
      </c>
      <c r="Q3037" t="n">
        <v>-10</v>
      </c>
      <c r="R3037" t="n">
        <v>0.00717</v>
      </c>
      <c r="S3037">
        <f>IMAGE("https://mitra.stanford.edu/kundaje/oak/projects/neuro-variants/variant_position/credible/roussos_2024/variant_figures/roussos_2024.adolescence.Astrocyte/rs6824510_count_position.png",4,220,900)</f>
        <v/>
      </c>
      <c r="T3037">
        <f>IMAGE("https://mitra.stanford.edu/kundaje/oak/projects/neuro-variants/variant_position/credible/roussos_2024/variant_figures/roussos_2024.adolescence.Astrocyte/rs6824510_profile_position.png",4,220,900)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0.06354524150800001</v>
      </c>
      <c r="G3038" t="n">
        <v>0.2192084494911322</v>
      </c>
      <c r="H3038" t="n">
        <v>0.0164568123379149</v>
      </c>
      <c r="I3038" t="n">
        <v>0.2512682199473</v>
      </c>
      <c r="J3038" t="n">
        <v>0.0051760970833456</v>
      </c>
      <c r="K3038" t="n">
        <v>0.7375400016296033</v>
      </c>
      <c r="L3038" t="b">
        <v>0</v>
      </c>
      <c r="M3038" t="b">
        <v>0</v>
      </c>
      <c r="N3038" t="inlineStr">
        <is>
          <t>alt</t>
        </is>
      </c>
      <c r="O3038" t="n">
        <v>50</v>
      </c>
      <c r="P3038" t="n">
        <v>0.004616</v>
      </c>
      <c r="Q3038" t="n">
        <v>70</v>
      </c>
      <c r="R3038" t="n">
        <v>0.12415</v>
      </c>
      <c r="S3038">
        <f>IMAGE("https://mitra.stanford.edu/kundaje/oak/projects/neuro-variants/variant_position/credible/roussos_2024/variant_figures/roussos_2024.adolescence.Astrocyte/rs7690302_count_position.png",4,220,900)</f>
        <v/>
      </c>
      <c r="T3038">
        <f>IMAGE("https://mitra.stanford.edu/kundaje/oak/projects/neuro-variants/variant_position/credible/roussos_2024/variant_figures/roussos_2024.adolescence.Astrocyte/rs7690302_profile_position.png",4,220,900)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0.0101058254</v>
      </c>
      <c r="G3039" t="n">
        <v>0.6574838539912939</v>
      </c>
      <c r="H3039" t="n">
        <v>0.0178170438070146</v>
      </c>
      <c r="I3039" t="n">
        <v>0.1978347907578156</v>
      </c>
      <c r="J3039" t="n">
        <v>0.0052302465655875</v>
      </c>
      <c r="K3039" t="n">
        <v>0.732730375888199</v>
      </c>
      <c r="L3039" t="b">
        <v>0</v>
      </c>
      <c r="M3039" t="b">
        <v>0</v>
      </c>
      <c r="N3039" t="inlineStr">
        <is>
          <t>alt</t>
        </is>
      </c>
      <c r="O3039" t="n">
        <v>15</v>
      </c>
      <c r="P3039" t="n">
        <v>0.00557</v>
      </c>
      <c r="Q3039" t="n">
        <v>-100</v>
      </c>
      <c r="R3039" t="n">
        <v>0.1354</v>
      </c>
      <c r="S3039">
        <f>IMAGE("https://mitra.stanford.edu/kundaje/oak/projects/neuro-variants/variant_position/credible/roussos_2024/variant_figures/roussos_2024.adolescence.Astrocyte/rs13113901_count_position.png",4,220,900)</f>
        <v/>
      </c>
      <c r="T3039">
        <f>IMAGE("https://mitra.stanford.edu/kundaje/oak/projects/neuro-variants/variant_position/credible/roussos_2024/variant_figures/roussos_2024.adolescence.Astrocyte/rs13113901_profile_position.png",4,220,900)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-0.0004786705239999</v>
      </c>
      <c r="G3040" t="n">
        <v>0.8628734676784432</v>
      </c>
      <c r="H3040" t="n">
        <v>0.0247073683603951</v>
      </c>
      <c r="I3040" t="n">
        <v>0.0659733008706061</v>
      </c>
      <c r="J3040" t="n">
        <v>0.0024330178322404</v>
      </c>
      <c r="K3040" t="n">
        <v>0.8032772699874267</v>
      </c>
      <c r="L3040" t="b">
        <v>0</v>
      </c>
      <c r="M3040" t="b">
        <v>0</v>
      </c>
      <c r="N3040" t="inlineStr">
        <is>
          <t>ref</t>
        </is>
      </c>
      <c r="O3040" t="n">
        <v>40</v>
      </c>
      <c r="P3040" t="n">
        <v>0.005478</v>
      </c>
      <c r="Q3040" t="n">
        <v>50</v>
      </c>
      <c r="R3040" t="n">
        <v>0.03564</v>
      </c>
      <c r="S3040">
        <f>IMAGE("https://mitra.stanford.edu/kundaje/oak/projects/neuro-variants/variant_position/credible/roussos_2024/variant_figures/roussos_2024.adolescence.Astrocyte/rs7658506_count_position.png",4,220,900)</f>
        <v/>
      </c>
      <c r="T3040">
        <f>IMAGE("https://mitra.stanford.edu/kundaje/oak/projects/neuro-variants/variant_position/credible/roussos_2024/variant_figures/roussos_2024.adolescence.Astrocyte/rs7658506_profile_position.png",4,220,900)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0.0079551942066</v>
      </c>
      <c r="G3041" t="n">
        <v>0.7810402827893298</v>
      </c>
      <c r="H3041" t="n">
        <v>0.0131103084868367</v>
      </c>
      <c r="I3041" t="n">
        <v>0.4527474010329786</v>
      </c>
      <c r="J3041" t="n">
        <v>0.0019048749369492</v>
      </c>
      <c r="K3041" t="n">
        <v>0.8241368062354751</v>
      </c>
      <c r="L3041" t="b">
        <v>0</v>
      </c>
      <c r="M3041" t="b">
        <v>0</v>
      </c>
      <c r="N3041" t="inlineStr">
        <is>
          <t>alt</t>
        </is>
      </c>
      <c r="O3041" t="n">
        <v>5</v>
      </c>
      <c r="P3041" t="n">
        <v>7.63e-05</v>
      </c>
      <c r="Q3041" t="n">
        <v>15</v>
      </c>
      <c r="R3041" t="n">
        <v>0.01141</v>
      </c>
      <c r="S3041">
        <f>IMAGE("https://mitra.stanford.edu/kundaje/oak/projects/neuro-variants/variant_position/credible/roussos_2024/variant_figures/roussos_2024.adolescence.Astrocyte/rs7681085_count_position.png",4,220,900)</f>
        <v/>
      </c>
      <c r="T3041">
        <f>IMAGE("https://mitra.stanford.edu/kundaje/oak/projects/neuro-variants/variant_position/credible/roussos_2024/variant_figures/roussos_2024.adolescence.Astrocyte/rs7681085_profile_position.png",4,220,900)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-0.0657866776</v>
      </c>
      <c r="G3042" t="n">
        <v>0.1759106336722705</v>
      </c>
      <c r="H3042" t="n">
        <v>0.0117552754191129</v>
      </c>
      <c r="I3042" t="n">
        <v>0.5829277171142299</v>
      </c>
      <c r="J3042" t="n">
        <v>0.0002336587247425</v>
      </c>
      <c r="K3042" t="n">
        <v>0.952931961129501</v>
      </c>
      <c r="L3042" t="b">
        <v>0</v>
      </c>
      <c r="M3042" t="b">
        <v>0</v>
      </c>
      <c r="N3042" t="inlineStr">
        <is>
          <t>ref</t>
        </is>
      </c>
      <c r="O3042" t="n">
        <v>45</v>
      </c>
      <c r="P3042" t="n">
        <v>0.003687</v>
      </c>
      <c r="Q3042" t="n">
        <v>-45</v>
      </c>
      <c r="R3042" t="n">
        <v>0.003418</v>
      </c>
      <c r="S3042">
        <f>IMAGE("https://mitra.stanford.edu/kundaje/oak/projects/neuro-variants/variant_position/credible/roussos_2024/variant_figures/roussos_2024.adolescence.Astrocyte/rs13115626_count_position.png",4,220,900)</f>
        <v/>
      </c>
      <c r="T3042">
        <f>IMAGE("https://mitra.stanford.edu/kundaje/oak/projects/neuro-variants/variant_position/credible/roussos_2024/variant_figures/roussos_2024.adolescence.Astrocyte/rs13115626_profile_position.png",4,220,900)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0.130493886</v>
      </c>
      <c r="G3043" t="n">
        <v>0.0483961853197221</v>
      </c>
      <c r="H3043" t="n">
        <v>0.0175024568674272</v>
      </c>
      <c r="I3043" t="n">
        <v>0.2094506156174656</v>
      </c>
      <c r="J3043" t="n">
        <v>0.0028484111206716</v>
      </c>
      <c r="K3043" t="n">
        <v>0.8061328428250193</v>
      </c>
      <c r="L3043" t="b">
        <v>0</v>
      </c>
      <c r="M3043" t="b">
        <v>0</v>
      </c>
      <c r="N3043" t="inlineStr">
        <is>
          <t>alt</t>
        </is>
      </c>
      <c r="O3043" t="n">
        <v>-20</v>
      </c>
      <c r="P3043" t="n">
        <v>0.01964</v>
      </c>
      <c r="Q3043" t="n">
        <v>100</v>
      </c>
      <c r="R3043" t="n">
        <v>0.03787</v>
      </c>
      <c r="S3043">
        <f>IMAGE("https://mitra.stanford.edu/kundaje/oak/projects/neuro-variants/variant_position/credible/roussos_2024/variant_figures/roussos_2024.adolescence.Astrocyte/rs4695202_count_position.png",4,220,900)</f>
        <v/>
      </c>
      <c r="T3043">
        <f>IMAGE("https://mitra.stanford.edu/kundaje/oak/projects/neuro-variants/variant_position/credible/roussos_2024/variant_figures/roussos_2024.adolescence.Astrocyte/rs4695202_profile_position.png",4,220,900)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-0.0556463419999999</v>
      </c>
      <c r="G3044" t="n">
        <v>0.2103545184869327</v>
      </c>
      <c r="H3044" t="n">
        <v>0.013286785491237</v>
      </c>
      <c r="I3044" t="n">
        <v>0.4329669640624793</v>
      </c>
      <c r="J3044" t="n">
        <v>5.340770851259531e-05</v>
      </c>
      <c r="K3044" t="n">
        <v>0.9909436465613992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0.006096</v>
      </c>
      <c r="Q3044" t="n">
        <v>-95</v>
      </c>
      <c r="R3044" t="n">
        <v>0.103</v>
      </c>
      <c r="S3044">
        <f>IMAGE("https://mitra.stanford.edu/kundaje/oak/projects/neuro-variants/variant_position/credible/roussos_2024/variant_figures/roussos_2024.adolescence.Astrocyte/rs28584485_count_position.png",4,220,900)</f>
        <v/>
      </c>
      <c r="T3044">
        <f>IMAGE("https://mitra.stanford.edu/kundaje/oak/projects/neuro-variants/variant_position/credible/roussos_2024/variant_figures/roussos_2024.adolescence.Astrocyte/rs28584485_profile_position.png",4,220,900)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-0.0170758543</v>
      </c>
      <c r="G3045" t="n">
        <v>0.5285514476337599</v>
      </c>
      <c r="H3045" t="n">
        <v>0.0162609108403747</v>
      </c>
      <c r="I3045" t="n">
        <v>0.2584520794338703</v>
      </c>
      <c r="J3045" t="n">
        <v>0.009660861050944901</v>
      </c>
      <c r="K3045" t="n">
        <v>0.6778975695663025</v>
      </c>
      <c r="L3045" t="b">
        <v>0</v>
      </c>
      <c r="M3045" t="b">
        <v>0</v>
      </c>
      <c r="N3045" t="inlineStr">
        <is>
          <t>ref</t>
        </is>
      </c>
      <c r="O3045" t="n">
        <v>100</v>
      </c>
      <c r="P3045" t="n">
        <v>0.00839</v>
      </c>
      <c r="Q3045" t="n">
        <v>-40</v>
      </c>
      <c r="R3045" t="n">
        <v>0.1366</v>
      </c>
      <c r="S3045">
        <f>IMAGE("https://mitra.stanford.edu/kundaje/oak/projects/neuro-variants/variant_position/credible/roussos_2024/variant_figures/roussos_2024.adolescence.Astrocyte/rs4426746_count_position.png",4,220,900)</f>
        <v/>
      </c>
      <c r="T3045">
        <f>IMAGE("https://mitra.stanford.edu/kundaje/oak/projects/neuro-variants/variant_position/credible/roussos_2024/variant_figures/roussos_2024.adolescence.Astrocyte/rs4426746_profile_position.png",4,220,900)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-0.180541246</v>
      </c>
      <c r="G3046" t="n">
        <v>0.0229961574768967</v>
      </c>
      <c r="H3046" t="n">
        <v>0.0230497227896328</v>
      </c>
      <c r="I3046" t="n">
        <v>0.08694533280904609</v>
      </c>
      <c r="J3046" t="n">
        <v>0.0700612705100435</v>
      </c>
      <c r="K3046" t="n">
        <v>0.3846244987443061</v>
      </c>
      <c r="L3046" t="b">
        <v>0</v>
      </c>
      <c r="M3046" t="b">
        <v>0</v>
      </c>
      <c r="N3046" t="inlineStr">
        <is>
          <t>ref</t>
        </is>
      </c>
      <c r="O3046" t="n">
        <v>100</v>
      </c>
      <c r="P3046" t="n">
        <v>0.05884</v>
      </c>
      <c r="Q3046" t="n">
        <v>100</v>
      </c>
      <c r="R3046" t="n">
        <v>0.1533</v>
      </c>
      <c r="S3046">
        <f>IMAGE("https://mitra.stanford.edu/kundaje/oak/projects/neuro-variants/variant_position/credible/roussos_2024/variant_figures/roussos_2024.adolescence.Astrocyte/rs13108290_count_position.png",4,220,900)</f>
        <v/>
      </c>
      <c r="T3046">
        <f>IMAGE("https://mitra.stanford.edu/kundaje/oak/projects/neuro-variants/variant_position/credible/roussos_2024/variant_figures/roussos_2024.adolescence.Astrocyte/rs13108290_profile_position.png",4,220,900)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-0.169141104</v>
      </c>
      <c r="G3047" t="n">
        <v>0.0307151534009899</v>
      </c>
      <c r="H3047" t="n">
        <v>0.0274005399792646</v>
      </c>
      <c r="I3047" t="n">
        <v>0.0465347683186733</v>
      </c>
      <c r="J3047" t="n">
        <v>0.0275524434026644</v>
      </c>
      <c r="K3047" t="n">
        <v>0.5271131513516701</v>
      </c>
      <c r="L3047" t="b">
        <v>0</v>
      </c>
      <c r="M3047" t="b">
        <v>0</v>
      </c>
      <c r="N3047" t="inlineStr">
        <is>
          <t>ref</t>
        </is>
      </c>
      <c r="O3047" t="n">
        <v>-95</v>
      </c>
      <c r="P3047" t="n">
        <v>0.01398</v>
      </c>
      <c r="Q3047" t="n">
        <v>40</v>
      </c>
      <c r="R3047" t="n">
        <v>0.1146</v>
      </c>
      <c r="S3047">
        <f>IMAGE("https://mitra.stanford.edu/kundaje/oak/projects/neuro-variants/variant_position/credible/roussos_2024/variant_figures/roussos_2024.adolescence.Astrocyte/rs7671128_count_position.png",4,220,900)</f>
        <v/>
      </c>
      <c r="T3047">
        <f>IMAGE("https://mitra.stanford.edu/kundaje/oak/projects/neuro-variants/variant_position/credible/roussos_2024/variant_figures/roussos_2024.adolescence.Astrocyte/rs7671128_profile_position.png",4,220,900)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0.01177349202</v>
      </c>
      <c r="G3048" t="n">
        <v>0.4731063956364048</v>
      </c>
      <c r="H3048" t="n">
        <v>0.0126428829719812</v>
      </c>
      <c r="I3048" t="n">
        <v>0.4982431523096207</v>
      </c>
      <c r="J3048" t="n">
        <v>0.0118060706762009</v>
      </c>
      <c r="K3048" t="n">
        <v>0.6518741283372304</v>
      </c>
      <c r="L3048" t="b">
        <v>0</v>
      </c>
      <c r="M3048" t="b">
        <v>0</v>
      </c>
      <c r="N3048" t="inlineStr">
        <is>
          <t>alt</t>
        </is>
      </c>
      <c r="O3048" t="n">
        <v>-95</v>
      </c>
      <c r="P3048" t="n">
        <v>0.01209</v>
      </c>
      <c r="Q3048" t="n">
        <v>-100</v>
      </c>
      <c r="R3048" t="n">
        <v>0.05988</v>
      </c>
      <c r="S3048">
        <f>IMAGE("https://mitra.stanford.edu/kundaje/oak/projects/neuro-variants/variant_position/credible/roussos_2024/variant_figures/roussos_2024.adolescence.Astrocyte/rs7675843_count_position.png",4,220,900)</f>
        <v/>
      </c>
      <c r="T3048">
        <f>IMAGE("https://mitra.stanford.edu/kundaje/oak/projects/neuro-variants/variant_position/credible/roussos_2024/variant_figures/roussos_2024.adolescence.Astrocyte/rs7675843_profile_position.png",4,220,900)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0.0097094567999999</v>
      </c>
      <c r="G3049" t="n">
        <v>0.6683598061182846</v>
      </c>
      <c r="H3049" t="n">
        <v>0.0324124606058404</v>
      </c>
      <c r="I3049" t="n">
        <v>0.0227164471593024</v>
      </c>
      <c r="J3049" t="n">
        <v>0.0069778654719163</v>
      </c>
      <c r="K3049" t="n">
        <v>0.7056001212380175</v>
      </c>
      <c r="L3049" t="b">
        <v>0</v>
      </c>
      <c r="M3049" t="b">
        <v>0</v>
      </c>
      <c r="N3049" t="inlineStr">
        <is>
          <t>alt</t>
        </is>
      </c>
      <c r="O3049" t="n">
        <v>30</v>
      </c>
      <c r="P3049" t="n">
        <v>0.003723</v>
      </c>
      <c r="Q3049" t="n">
        <v>75</v>
      </c>
      <c r="R3049" t="n">
        <v>0.3438</v>
      </c>
      <c r="S3049">
        <f>IMAGE("https://mitra.stanford.edu/kundaje/oak/projects/neuro-variants/variant_position/credible/roussos_2024/variant_figures/roussos_2024.adolescence.Astrocyte/rs9685762_count_position.png",4,220,900)</f>
        <v/>
      </c>
      <c r="T3049">
        <f>IMAGE("https://mitra.stanford.edu/kundaje/oak/projects/neuro-variants/variant_position/credible/roussos_2024/variant_figures/roussos_2024.adolescence.Astrocyte/rs9685762_profile_position.png",4,220,900)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0.315248486</v>
      </c>
      <c r="G3050" t="n">
        <v>0.0060858196354709</v>
      </c>
      <c r="H3050" t="n">
        <v>0.0289402430065896</v>
      </c>
      <c r="I3050" t="n">
        <v>0.036576084104331</v>
      </c>
      <c r="J3050" t="n">
        <v>0.0507766370946206</v>
      </c>
      <c r="K3050" t="n">
        <v>0.4474854719051085</v>
      </c>
      <c r="L3050" t="b">
        <v>1</v>
      </c>
      <c r="M3050" t="b">
        <v>1</v>
      </c>
      <c r="N3050" t="inlineStr">
        <is>
          <t>alt</t>
        </is>
      </c>
      <c r="O3050" t="n">
        <v>30</v>
      </c>
      <c r="P3050" t="n">
        <v>0.00232</v>
      </c>
      <c r="Q3050" t="n">
        <v>-40</v>
      </c>
      <c r="R3050" t="n">
        <v>0.03174</v>
      </c>
      <c r="S3050">
        <f>IMAGE("https://mitra.stanford.edu/kundaje/oak/projects/neuro-variants/variant_position/credible/roussos_2024/variant_figures/roussos_2024.adolescence.Astrocyte/rs17005062_count_position.png",4,220,900)</f>
        <v/>
      </c>
      <c r="T3050">
        <f>IMAGE("https://mitra.stanford.edu/kundaje/oak/projects/neuro-variants/variant_position/credible/roussos_2024/variant_figures/roussos_2024.adolescence.Astrocyte/rs17005062_profile_position.png",4,220,900)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0.0160480907199999</v>
      </c>
      <c r="G3051" t="n">
        <v>0.5942757700279815</v>
      </c>
      <c r="H3051" t="n">
        <v>0.007374239928828</v>
      </c>
      <c r="I3051" t="n">
        <v>0.95215152444336</v>
      </c>
      <c r="J3051" t="n">
        <v>0.0033364982345784</v>
      </c>
      <c r="K3051" t="n">
        <v>0.7816378577387475</v>
      </c>
      <c r="L3051" t="b">
        <v>0</v>
      </c>
      <c r="M3051" t="b">
        <v>0</v>
      </c>
      <c r="N3051" t="inlineStr">
        <is>
          <t>alt</t>
        </is>
      </c>
      <c r="O3051" t="n">
        <v>-55</v>
      </c>
      <c r="P3051" t="n">
        <v>0.007126</v>
      </c>
      <c r="Q3051" t="n">
        <v>-100</v>
      </c>
      <c r="R3051" t="n">
        <v>0.0814</v>
      </c>
      <c r="S3051">
        <f>IMAGE("https://mitra.stanford.edu/kundaje/oak/projects/neuro-variants/variant_position/credible/roussos_2024/variant_figures/roussos_2024.adolescence.Astrocyte/rs1443539_count_position.png",4,220,900)</f>
        <v/>
      </c>
      <c r="T3051">
        <f>IMAGE("https://mitra.stanford.edu/kundaje/oak/projects/neuro-variants/variant_position/credible/roussos_2024/variant_figures/roussos_2024.adolescence.Astrocyte/rs1443539_profile_position.png",4,220,900)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0.035613382528</v>
      </c>
      <c r="G3052" t="n">
        <v>0.366148234653206</v>
      </c>
      <c r="H3052" t="n">
        <v>0.0180718687657553</v>
      </c>
      <c r="I3052" t="n">
        <v>0.187896192038156</v>
      </c>
      <c r="J3052" t="n">
        <v>0.01962584933092</v>
      </c>
      <c r="K3052" t="n">
        <v>0.6166393919764236</v>
      </c>
      <c r="L3052" t="b">
        <v>0</v>
      </c>
      <c r="M3052" t="b">
        <v>0</v>
      </c>
      <c r="N3052" t="inlineStr">
        <is>
          <t>alt</t>
        </is>
      </c>
      <c r="O3052" t="n">
        <v>-10</v>
      </c>
      <c r="P3052" t="n">
        <v>0.000928</v>
      </c>
      <c r="Q3052" t="n">
        <v>-100</v>
      </c>
      <c r="R3052" t="n">
        <v>0.0974</v>
      </c>
      <c r="S3052">
        <f>IMAGE("https://mitra.stanford.edu/kundaje/oak/projects/neuro-variants/variant_position/credible/roussos_2024/variant_figures/roussos_2024.adolescence.Astrocyte/rs151421_count_position.png",4,220,900)</f>
        <v/>
      </c>
      <c r="T3052">
        <f>IMAGE("https://mitra.stanford.edu/kundaje/oak/projects/neuro-variants/variant_position/credible/roussos_2024/variant_figures/roussos_2024.adolescence.Astrocyte/rs151421_profile_position.png",4,220,900)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0.170344776</v>
      </c>
      <c r="G3053" t="n">
        <v>0.0251932312049659</v>
      </c>
      <c r="H3053" t="n">
        <v>0.0125214227158201</v>
      </c>
      <c r="I3053" t="n">
        <v>0.5057610686079016</v>
      </c>
      <c r="J3053" t="n">
        <v>0.0004754769605079</v>
      </c>
      <c r="K3053" t="n">
        <v>0.9314607939232382</v>
      </c>
      <c r="L3053" t="b">
        <v>0</v>
      </c>
      <c r="M3053" t="b">
        <v>0</v>
      </c>
      <c r="N3053" t="inlineStr">
        <is>
          <t>alt</t>
        </is>
      </c>
      <c r="O3053" t="n">
        <v>-100</v>
      </c>
      <c r="P3053" t="n">
        <v>0.01534</v>
      </c>
      <c r="Q3053" t="n">
        <v>20</v>
      </c>
      <c r="R3053" t="n">
        <v>0.09130000000000001</v>
      </c>
      <c r="S3053">
        <f>IMAGE("https://mitra.stanford.edu/kundaje/oak/projects/neuro-variants/variant_position/credible/roussos_2024/variant_figures/roussos_2024.adolescence.Astrocyte/rs150898_count_position.png",4,220,900)</f>
        <v/>
      </c>
      <c r="T3053">
        <f>IMAGE("https://mitra.stanford.edu/kundaje/oak/projects/neuro-variants/variant_position/credible/roussos_2024/variant_figures/roussos_2024.adolescence.Astrocyte/rs150898_profile_position.png",4,220,900)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-0.03622825468</v>
      </c>
      <c r="G3054" t="n">
        <v>0.3181353331172536</v>
      </c>
      <c r="H3054" t="n">
        <v>0.0152948908613192</v>
      </c>
      <c r="I3054" t="n">
        <v>0.3077114861690529</v>
      </c>
      <c r="J3054" t="n">
        <v>0.0004346794053941</v>
      </c>
      <c r="K3054" t="n">
        <v>0.928017233261334</v>
      </c>
      <c r="L3054" t="b">
        <v>0</v>
      </c>
      <c r="M3054" t="b">
        <v>0</v>
      </c>
      <c r="N3054" t="inlineStr">
        <is>
          <t>ref</t>
        </is>
      </c>
      <c r="O3054" t="n">
        <v>40</v>
      </c>
      <c r="P3054" t="n">
        <v>0.01465</v>
      </c>
      <c r="Q3054" t="n">
        <v>-15</v>
      </c>
      <c r="R3054" t="n">
        <v>0.01468</v>
      </c>
      <c r="S3054">
        <f>IMAGE("https://mitra.stanford.edu/kundaje/oak/projects/neuro-variants/variant_position/credible/roussos_2024/variant_figures/roussos_2024.adolescence.Astrocyte/rs223473_count_position.png",4,220,900)</f>
        <v/>
      </c>
      <c r="T3054">
        <f>IMAGE("https://mitra.stanford.edu/kundaje/oak/projects/neuro-variants/variant_position/credible/roussos_2024/variant_figures/roussos_2024.adolescence.Astrocyte/rs223473_profile_position.png",4,220,900)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-0.0105833267999999</v>
      </c>
      <c r="G3055" t="n">
        <v>0.698272786762095</v>
      </c>
      <c r="H3055" t="n">
        <v>0.009680698676948599</v>
      </c>
      <c r="I3055" t="n">
        <v>0.7892976067848126</v>
      </c>
      <c r="J3055" t="n">
        <v>0.0010496098270183</v>
      </c>
      <c r="K3055" t="n">
        <v>0.8802080425806402</v>
      </c>
      <c r="L3055" t="b">
        <v>0</v>
      </c>
      <c r="M3055" t="b">
        <v>0</v>
      </c>
      <c r="N3055" t="inlineStr">
        <is>
          <t>ref</t>
        </is>
      </c>
      <c r="O3055" t="n">
        <v>-15</v>
      </c>
      <c r="P3055" t="n">
        <v>0.001953</v>
      </c>
      <c r="Q3055" t="n">
        <v>-50</v>
      </c>
      <c r="R3055" t="n">
        <v>0.04175</v>
      </c>
      <c r="S3055">
        <f>IMAGE("https://mitra.stanford.edu/kundaje/oak/projects/neuro-variants/variant_position/credible/roussos_2024/variant_figures/roussos_2024.adolescence.Astrocyte/rs223471_count_position.png",4,220,900)</f>
        <v/>
      </c>
      <c r="T3055">
        <f>IMAGE("https://mitra.stanford.edu/kundaje/oak/projects/neuro-variants/variant_position/credible/roussos_2024/variant_figures/roussos_2024.adolescence.Astrocyte/rs223471_profile_position.png",4,220,900)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-0.01417552218</v>
      </c>
      <c r="G3056" t="n">
        <v>0.6386472143374434</v>
      </c>
      <c r="H3056" t="n">
        <v>0.0484464899828767</v>
      </c>
      <c r="I3056" t="n">
        <v>0.0044476652412379</v>
      </c>
      <c r="J3056" t="n">
        <v>0.009264012105747199</v>
      </c>
      <c r="K3056" t="n">
        <v>0.6669166188370526</v>
      </c>
      <c r="L3056" t="b">
        <v>0</v>
      </c>
      <c r="M3056" t="b">
        <v>0</v>
      </c>
      <c r="N3056" t="inlineStr">
        <is>
          <t>ref</t>
        </is>
      </c>
      <c r="O3056" t="n">
        <v>100</v>
      </c>
      <c r="P3056" t="n">
        <v>0.0465</v>
      </c>
      <c r="Q3056" t="n">
        <v>50</v>
      </c>
      <c r="R3056" t="n">
        <v>0.1489</v>
      </c>
      <c r="S3056">
        <f>IMAGE("https://mitra.stanford.edu/kundaje/oak/projects/neuro-variants/variant_position/credible/roussos_2024/variant_figures/roussos_2024.adolescence.Astrocyte/rs223465_count_position.png",4,220,900)</f>
        <v/>
      </c>
      <c r="T3056">
        <f>IMAGE("https://mitra.stanford.edu/kundaje/oak/projects/neuro-variants/variant_position/credible/roussos_2024/variant_figures/roussos_2024.adolescence.Astrocyte/rs223465_profile_position.png",4,220,900)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0.0019550826</v>
      </c>
      <c r="G3057" t="n">
        <v>0.8334051178368619</v>
      </c>
      <c r="H3057" t="n">
        <v>0.0108609373146258</v>
      </c>
      <c r="I3057" t="n">
        <v>0.6724310288545864</v>
      </c>
      <c r="J3057" t="n">
        <v>0.0009138652345488</v>
      </c>
      <c r="K3057" t="n">
        <v>0.8862538736094265</v>
      </c>
      <c r="L3057" t="b">
        <v>0</v>
      </c>
      <c r="M3057" t="b">
        <v>0</v>
      </c>
      <c r="N3057" t="inlineStr">
        <is>
          <t>alt</t>
        </is>
      </c>
      <c r="O3057" t="n">
        <v>-90</v>
      </c>
      <c r="P3057" t="n">
        <v>0.00315</v>
      </c>
      <c r="Q3057" t="n">
        <v>-75</v>
      </c>
      <c r="R3057" t="n">
        <v>0.1355</v>
      </c>
      <c r="S3057">
        <f>IMAGE("https://mitra.stanford.edu/kundaje/oak/projects/neuro-variants/variant_position/credible/roussos_2024/variant_figures/roussos_2024.adolescence.Astrocyte/rs223460_count_position.png",4,220,900)</f>
        <v/>
      </c>
      <c r="T3057">
        <f>IMAGE("https://mitra.stanford.edu/kundaje/oak/projects/neuro-variants/variant_position/credible/roussos_2024/variant_figures/roussos_2024.adolescence.Astrocyte/rs223460_profile_position.png",4,220,900)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0.109849759</v>
      </c>
      <c r="G3058" t="n">
        <v>0.06261865282860871</v>
      </c>
      <c r="H3058" t="n">
        <v>0.0154775913936727</v>
      </c>
      <c r="I3058" t="n">
        <v>0.2946255351105147</v>
      </c>
      <c r="J3058" t="n">
        <v>0.0044380322226507</v>
      </c>
      <c r="K3058" t="n">
        <v>0.752110832205271</v>
      </c>
      <c r="L3058" t="b">
        <v>0</v>
      </c>
      <c r="M3058" t="b">
        <v>0</v>
      </c>
      <c r="N3058" t="inlineStr">
        <is>
          <t>alt</t>
        </is>
      </c>
      <c r="O3058" t="n">
        <v>-95</v>
      </c>
      <c r="P3058" t="n">
        <v>0.01857</v>
      </c>
      <c r="Q3058" t="n">
        <v>0</v>
      </c>
      <c r="R3058" t="n">
        <v>0</v>
      </c>
      <c r="S3058">
        <f>IMAGE("https://mitra.stanford.edu/kundaje/oak/projects/neuro-variants/variant_position/credible/roussos_2024/variant_figures/roussos_2024.adolescence.Astrocyte/rs223456_count_position.png",4,220,900)</f>
        <v/>
      </c>
      <c r="T3058">
        <f>IMAGE("https://mitra.stanford.edu/kundaje/oak/projects/neuro-variants/variant_position/credible/roussos_2024/variant_figures/roussos_2024.adolescence.Astrocyte/rs223456_profile_position.png",4,220,900)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0.0487999866</v>
      </c>
      <c r="G3059" t="n">
        <v>0.1885465678220953</v>
      </c>
      <c r="H3059" t="n">
        <v>0.0124402357870882</v>
      </c>
      <c r="I3059" t="n">
        <v>0.5082998648785543</v>
      </c>
      <c r="J3059" t="n">
        <v>0.09015369551671951</v>
      </c>
      <c r="K3059" t="n">
        <v>0.344329458233661</v>
      </c>
      <c r="L3059" t="b">
        <v>0</v>
      </c>
      <c r="M3059" t="b">
        <v>0</v>
      </c>
      <c r="N3059" t="inlineStr">
        <is>
          <t>alt</t>
        </is>
      </c>
      <c r="O3059" t="n">
        <v>90</v>
      </c>
      <c r="P3059" t="n">
        <v>0.008995</v>
      </c>
      <c r="Q3059" t="n">
        <v>35</v>
      </c>
      <c r="R3059" t="n">
        <v>0.0924</v>
      </c>
      <c r="S3059">
        <f>IMAGE("https://mitra.stanford.edu/kundaje/oak/projects/neuro-variants/variant_position/credible/roussos_2024/variant_figures/roussos_2024.adolescence.Astrocyte/rs223434_count_position.png",4,220,900)</f>
        <v/>
      </c>
      <c r="T3059">
        <f>IMAGE("https://mitra.stanford.edu/kundaje/oak/projects/neuro-variants/variant_position/credible/roussos_2024/variant_figures/roussos_2024.adolescence.Astrocyte/rs223434_profile_position.png",4,220,900)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-0.0146790007</v>
      </c>
      <c r="G3060" t="n">
        <v>0.6365194098498933</v>
      </c>
      <c r="H3060" t="n">
        <v>0.0289414576253627</v>
      </c>
      <c r="I3060" t="n">
        <v>0.0358452436130294</v>
      </c>
      <c r="J3060" t="n">
        <v>0.0016111325401299</v>
      </c>
      <c r="K3060" t="n">
        <v>0.8498629814725918</v>
      </c>
      <c r="L3060" t="b">
        <v>0</v>
      </c>
      <c r="M3060" t="b">
        <v>0</v>
      </c>
      <c r="N3060" t="inlineStr">
        <is>
          <t>ref</t>
        </is>
      </c>
      <c r="O3060" t="n">
        <v>-5</v>
      </c>
      <c r="P3060" t="n">
        <v>0.002476</v>
      </c>
      <c r="Q3060" t="n">
        <v>50</v>
      </c>
      <c r="R3060" t="n">
        <v>0.1338</v>
      </c>
      <c r="S3060">
        <f>IMAGE("https://mitra.stanford.edu/kundaje/oak/projects/neuro-variants/variant_position/credible/roussos_2024/variant_figures/roussos_2024.adolescence.Astrocyte/rs223426_count_position.png",4,220,900)</f>
        <v/>
      </c>
      <c r="T3060">
        <f>IMAGE("https://mitra.stanford.edu/kundaje/oak/projects/neuro-variants/variant_position/credible/roussos_2024/variant_figures/roussos_2024.adolescence.Astrocyte/rs223426_profile_position.png",4,220,900)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-0.0392134504</v>
      </c>
      <c r="G3061" t="n">
        <v>0.3220922928948516</v>
      </c>
      <c r="H3061" t="n">
        <v>0.0116599633276303</v>
      </c>
      <c r="I3061" t="n">
        <v>0.5902761099876176</v>
      </c>
      <c r="J3061" t="n">
        <v>0.0196191733673559</v>
      </c>
      <c r="K3061" t="n">
        <v>0.5745383426532558</v>
      </c>
      <c r="L3061" t="b">
        <v>0</v>
      </c>
      <c r="M3061" t="b">
        <v>0</v>
      </c>
      <c r="N3061" t="inlineStr">
        <is>
          <t>ref</t>
        </is>
      </c>
      <c r="O3061" t="n">
        <v>-60</v>
      </c>
      <c r="P3061" t="n">
        <v>0.01378</v>
      </c>
      <c r="Q3061" t="n">
        <v>90</v>
      </c>
      <c r="R3061" t="n">
        <v>0.0619</v>
      </c>
      <c r="S3061">
        <f>IMAGE("https://mitra.stanford.edu/kundaje/oak/projects/neuro-variants/variant_position/credible/roussos_2024/variant_figures/roussos_2024.adolescence.Astrocyte/rs223415_count_position.png",4,220,900)</f>
        <v/>
      </c>
      <c r="T3061">
        <f>IMAGE("https://mitra.stanford.edu/kundaje/oak/projects/neuro-variants/variant_position/credible/roussos_2024/variant_figures/roussos_2024.adolescence.Astrocyte/rs223415_profile_position.png",4,220,900)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0.0054848169</v>
      </c>
      <c r="G3062" t="n">
        <v>0.6517197199240053</v>
      </c>
      <c r="H3062" t="n">
        <v>0.0195394365915054</v>
      </c>
      <c r="I3062" t="n">
        <v>0.1470725225172767</v>
      </c>
      <c r="J3062" t="n">
        <v>0.09754472895587921</v>
      </c>
      <c r="K3062" t="n">
        <v>0.3279292993422069</v>
      </c>
      <c r="L3062" t="b">
        <v>0</v>
      </c>
      <c r="M3062" t="b">
        <v>0</v>
      </c>
      <c r="N3062" t="inlineStr">
        <is>
          <t>alt</t>
        </is>
      </c>
      <c r="O3062" t="n">
        <v>-100</v>
      </c>
      <c r="P3062" t="n">
        <v>0.01134</v>
      </c>
      <c r="Q3062" t="n">
        <v>100</v>
      </c>
      <c r="R3062" t="n">
        <v>0.10657</v>
      </c>
      <c r="S3062">
        <f>IMAGE("https://mitra.stanford.edu/kundaje/oak/projects/neuro-variants/variant_position/credible/roussos_2024/variant_figures/roussos_2024.adolescence.Astrocyte/rs223412_count_position.png",4,220,900)</f>
        <v/>
      </c>
      <c r="T3062">
        <f>IMAGE("https://mitra.stanford.edu/kundaje/oak/projects/neuro-variants/variant_position/credible/roussos_2024/variant_figures/roussos_2024.adolescence.Astrocyte/rs223412_profile_position.png",4,220,900)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0.0276058826</v>
      </c>
      <c r="G3063" t="n">
        <v>0.3006492963912761</v>
      </c>
      <c r="H3063" t="n">
        <v>0.0430602699879646</v>
      </c>
      <c r="I3063" t="n">
        <v>0.0071516412725656</v>
      </c>
      <c r="J3063" t="n">
        <v>0.008168412307509599</v>
      </c>
      <c r="K3063" t="n">
        <v>0.6827859868711834</v>
      </c>
      <c r="L3063" t="b">
        <v>0</v>
      </c>
      <c r="M3063" t="b">
        <v>0</v>
      </c>
      <c r="N3063" t="inlineStr">
        <is>
          <t>alt</t>
        </is>
      </c>
      <c r="O3063" t="n">
        <v>65</v>
      </c>
      <c r="P3063" t="n">
        <v>0.00512</v>
      </c>
      <c r="Q3063" t="n">
        <v>-90</v>
      </c>
      <c r="R3063" t="n">
        <v>0.1307</v>
      </c>
      <c r="S3063">
        <f>IMAGE("https://mitra.stanford.edu/kundaje/oak/projects/neuro-variants/variant_position/credible/roussos_2024/variant_figures/roussos_2024.adolescence.Astrocyte/rs223406_count_position.png",4,220,900)</f>
        <v/>
      </c>
      <c r="T3063">
        <f>IMAGE("https://mitra.stanford.edu/kundaje/oak/projects/neuro-variants/variant_position/credible/roussos_2024/variant_figures/roussos_2024.adolescence.Astrocyte/rs223406_profile_position.png",4,220,900)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-0.02806546596</v>
      </c>
      <c r="G3064" t="n">
        <v>0.4561487264625114</v>
      </c>
      <c r="H3064" t="n">
        <v>0.0376459243934664</v>
      </c>
      <c r="I3064" t="n">
        <v>0.0123528697297187</v>
      </c>
      <c r="J3064" t="n">
        <v>0.0138177610301753</v>
      </c>
      <c r="K3064" t="n">
        <v>0.6239433690787739</v>
      </c>
      <c r="L3064" t="b">
        <v>1</v>
      </c>
      <c r="M3064" t="b">
        <v>0</v>
      </c>
      <c r="N3064" t="inlineStr">
        <is>
          <t>ref</t>
        </is>
      </c>
      <c r="O3064" t="n">
        <v>50</v>
      </c>
      <c r="P3064" t="n">
        <v>0.00396</v>
      </c>
      <c r="Q3064" t="n">
        <v>-60</v>
      </c>
      <c r="R3064" t="n">
        <v>0.06383999999999999</v>
      </c>
      <c r="S3064">
        <f>IMAGE("https://mitra.stanford.edu/kundaje/oak/projects/neuro-variants/variant_position/credible/roussos_2024/variant_figures/roussos_2024.adolescence.Astrocyte/rs223395_count_position.png",4,220,900)</f>
        <v/>
      </c>
      <c r="T3064">
        <f>IMAGE("https://mitra.stanford.edu/kundaje/oak/projects/neuro-variants/variant_position/credible/roussos_2024/variant_figures/roussos_2024.adolescence.Astrocyte/rs223395_profile_position.png",4,220,900)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0.0278710374</v>
      </c>
      <c r="G3065" t="n">
        <v>0.3133523193128673</v>
      </c>
      <c r="H3065" t="n">
        <v>0.0113047850005373</v>
      </c>
      <c r="I3065" t="n">
        <v>0.6215972142624259</v>
      </c>
      <c r="J3065" t="n">
        <v>0.0092350829303028</v>
      </c>
      <c r="K3065" t="n">
        <v>0.6733590246343318</v>
      </c>
      <c r="L3065" t="b">
        <v>0</v>
      </c>
      <c r="M3065" t="b">
        <v>0</v>
      </c>
      <c r="N3065" t="inlineStr">
        <is>
          <t>alt</t>
        </is>
      </c>
      <c r="O3065" t="n">
        <v>-95</v>
      </c>
      <c r="P3065" t="n">
        <v>0.0426</v>
      </c>
      <c r="Q3065" t="n">
        <v>-65</v>
      </c>
      <c r="R3065" t="n">
        <v>0.169</v>
      </c>
      <c r="S3065">
        <f>IMAGE("https://mitra.stanford.edu/kundaje/oak/projects/neuro-variants/variant_position/credible/roussos_2024/variant_figures/roussos_2024.adolescence.Astrocyte/rs223380_count_position.png",4,220,900)</f>
        <v/>
      </c>
      <c r="T3065">
        <f>IMAGE("https://mitra.stanford.edu/kundaje/oak/projects/neuro-variants/variant_position/credible/roussos_2024/variant_figures/roussos_2024.adolescence.Astrocyte/rs223380_profile_position.png",4,220,900)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0.00595580358</v>
      </c>
      <c r="G3066" t="n">
        <v>0.7561636771132864</v>
      </c>
      <c r="H3066" t="n">
        <v>0.0279379801576383</v>
      </c>
      <c r="I3066" t="n">
        <v>0.0425793120585837</v>
      </c>
      <c r="J3066" t="n">
        <v>0.001053318695665</v>
      </c>
      <c r="K3066" t="n">
        <v>0.8686843133783537</v>
      </c>
      <c r="L3066" t="b">
        <v>0</v>
      </c>
      <c r="M3066" t="b">
        <v>0</v>
      </c>
      <c r="N3066" t="inlineStr">
        <is>
          <t>alt</t>
        </is>
      </c>
      <c r="O3066" t="n">
        <v>-90</v>
      </c>
      <c r="P3066" t="n">
        <v>0.009889999999999999</v>
      </c>
      <c r="Q3066" t="n">
        <v>-100</v>
      </c>
      <c r="R3066" t="n">
        <v>0.0475</v>
      </c>
      <c r="S3066">
        <f>IMAGE("https://mitra.stanford.edu/kundaje/oak/projects/neuro-variants/variant_position/credible/roussos_2024/variant_figures/roussos_2024.adolescence.Astrocyte/rs223359_count_position.png",4,220,900)</f>
        <v/>
      </c>
      <c r="T3066">
        <f>IMAGE("https://mitra.stanford.edu/kundaje/oak/projects/neuro-variants/variant_position/credible/roussos_2024/variant_figures/roussos_2024.adolescence.Astrocyte/rs223359_profile_position.png",4,220,900)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-0.012863386254</v>
      </c>
      <c r="G3067" t="n">
        <v>0.7093406809174725</v>
      </c>
      <c r="H3067" t="n">
        <v>0.039141551116543</v>
      </c>
      <c r="I3067" t="n">
        <v>0.0109793607009625</v>
      </c>
      <c r="J3067" t="n">
        <v>0.008652048779040401</v>
      </c>
      <c r="K3067" t="n">
        <v>0.6836565459738054</v>
      </c>
      <c r="L3067" t="b">
        <v>0</v>
      </c>
      <c r="M3067" t="b">
        <v>0</v>
      </c>
      <c r="N3067" t="inlineStr">
        <is>
          <t>ref</t>
        </is>
      </c>
      <c r="O3067" t="n">
        <v>-10</v>
      </c>
      <c r="P3067" t="n">
        <v>0.000702</v>
      </c>
      <c r="Q3067" t="n">
        <v>100</v>
      </c>
      <c r="R3067" t="n">
        <v>0.1273</v>
      </c>
      <c r="S3067">
        <f>IMAGE("https://mitra.stanford.edu/kundaje/oak/projects/neuro-variants/variant_position/credible/roussos_2024/variant_figures/roussos_2024.adolescence.Astrocyte/rs223357_count_position.png",4,220,900)</f>
        <v/>
      </c>
      <c r="T3067">
        <f>IMAGE("https://mitra.stanford.edu/kundaje/oak/projects/neuro-variants/variant_position/credible/roussos_2024/variant_figures/roussos_2024.adolescence.Astrocyte/rs223357_profile_position.png",4,220,900)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-0.067556745</v>
      </c>
      <c r="G3068" t="n">
        <v>0.1556490439343282</v>
      </c>
      <c r="H3068" t="n">
        <v>0.0125419271595597</v>
      </c>
      <c r="I3068" t="n">
        <v>0.5071086708162579</v>
      </c>
      <c r="J3068" t="n">
        <v>0.0064326617808502</v>
      </c>
      <c r="K3068" t="n">
        <v>0.7405376696271418</v>
      </c>
      <c r="L3068" t="b">
        <v>0</v>
      </c>
      <c r="M3068" t="b">
        <v>0</v>
      </c>
      <c r="N3068" t="inlineStr">
        <is>
          <t>ref</t>
        </is>
      </c>
      <c r="O3068" t="n">
        <v>55</v>
      </c>
      <c r="P3068" t="n">
        <v>0.006836</v>
      </c>
      <c r="Q3068" t="n">
        <v>100</v>
      </c>
      <c r="R3068" t="n">
        <v>0.0931</v>
      </c>
      <c r="S3068">
        <f>IMAGE("https://mitra.stanford.edu/kundaje/oak/projects/neuro-variants/variant_position/credible/roussos_2024/variant_figures/roussos_2024.adolescence.Astrocyte/rs223353_count_position.png",4,220,900)</f>
        <v/>
      </c>
      <c r="T3068">
        <f>IMAGE("https://mitra.stanford.edu/kundaje/oak/projects/neuro-variants/variant_position/credible/roussos_2024/variant_figures/roussos_2024.adolescence.Astrocyte/rs223353_profile_position.png",4,220,900)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-0.0504263208</v>
      </c>
      <c r="G3069" t="n">
        <v>0.209568547854683</v>
      </c>
      <c r="H3069" t="n">
        <v>0.016972890291972</v>
      </c>
      <c r="I3069" t="n">
        <v>0.2299320022372947</v>
      </c>
      <c r="J3069" t="n">
        <v>0.0007143281013559</v>
      </c>
      <c r="K3069" t="n">
        <v>0.8928322529970452</v>
      </c>
      <c r="L3069" t="b">
        <v>0</v>
      </c>
      <c r="M3069" t="b">
        <v>0</v>
      </c>
      <c r="N3069" t="inlineStr">
        <is>
          <t>ref</t>
        </is>
      </c>
      <c r="O3069" t="n">
        <v>30</v>
      </c>
      <c r="P3069" t="n">
        <v>0.0266</v>
      </c>
      <c r="Q3069" t="n">
        <v>25</v>
      </c>
      <c r="R3069" t="n">
        <v>0.01422</v>
      </c>
      <c r="S3069">
        <f>IMAGE("https://mitra.stanford.edu/kundaje/oak/projects/neuro-variants/variant_position/credible/roussos_2024/variant_figures/roussos_2024.adolescence.Astrocyte/rs223351_count_position.png",4,220,900)</f>
        <v/>
      </c>
      <c r="T3069">
        <f>IMAGE("https://mitra.stanford.edu/kundaje/oak/projects/neuro-variants/variant_position/credible/roussos_2024/variant_figures/roussos_2024.adolescence.Astrocyte/rs223351_profile_position.png",4,220,900)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0.00364495382</v>
      </c>
      <c r="G3070" t="n">
        <v>0.8586458579796971</v>
      </c>
      <c r="H3070" t="n">
        <v>0.0300387042990826</v>
      </c>
      <c r="I3070" t="n">
        <v>0.0309770167059644</v>
      </c>
      <c r="J3070" t="n">
        <v>0.0013099724060172</v>
      </c>
      <c r="K3070" t="n">
        <v>0.8542667413885697</v>
      </c>
      <c r="L3070" t="b">
        <v>0</v>
      </c>
      <c r="M3070" t="b">
        <v>0</v>
      </c>
      <c r="N3070" t="inlineStr">
        <is>
          <t>alt</t>
        </is>
      </c>
      <c r="O3070" t="n">
        <v>-85</v>
      </c>
      <c r="P3070" t="n">
        <v>0.00659</v>
      </c>
      <c r="Q3070" t="n">
        <v>-70</v>
      </c>
      <c r="R3070" t="n">
        <v>0.123</v>
      </c>
      <c r="S3070">
        <f>IMAGE("https://mitra.stanford.edu/kundaje/oak/projects/neuro-variants/variant_position/credible/roussos_2024/variant_figures/roussos_2024.adolescence.Astrocyte/rs223341_count_position.png",4,220,900)</f>
        <v/>
      </c>
      <c r="T3070">
        <f>IMAGE("https://mitra.stanford.edu/kundaje/oak/projects/neuro-variants/variant_position/credible/roussos_2024/variant_figures/roussos_2024.adolescence.Astrocyte/rs223341_profile_position.png",4,220,900)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-0.0734481455999999</v>
      </c>
      <c r="G3071" t="n">
        <v>0.1443042551571316</v>
      </c>
      <c r="H3071" t="n">
        <v>0.0245714634342114</v>
      </c>
      <c r="I3071" t="n">
        <v>0.0717446971990184</v>
      </c>
      <c r="J3071" t="n">
        <v>0.9741721805180548</v>
      </c>
      <c r="K3071" t="n">
        <v>2.680185593380196e-05</v>
      </c>
      <c r="L3071" t="b">
        <v>0</v>
      </c>
      <c r="M3071" t="b">
        <v>0</v>
      </c>
      <c r="N3071" t="inlineStr">
        <is>
          <t>ref</t>
        </is>
      </c>
      <c r="O3071" t="n">
        <v>-100</v>
      </c>
      <c r="P3071" t="n">
        <v>0.0282</v>
      </c>
      <c r="Q3071" t="n">
        <v>-50</v>
      </c>
      <c r="R3071" t="n">
        <v>0.1797</v>
      </c>
      <c r="S3071">
        <f>IMAGE("https://mitra.stanford.edu/kundaje/oak/projects/neuro-variants/variant_position/credible/roussos_2024/variant_figures/roussos_2024.adolescence.Astrocyte/rs223332_count_position.png",4,220,900)</f>
        <v/>
      </c>
      <c r="T3071">
        <f>IMAGE("https://mitra.stanford.edu/kundaje/oak/projects/neuro-variants/variant_position/credible/roussos_2024/variant_figures/roussos_2024.adolescence.Astrocyte/rs223332_profile_position.png",4,220,900)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-0.0635245896</v>
      </c>
      <c r="G3072" t="n">
        <v>0.1794810709172987</v>
      </c>
      <c r="H3072" t="n">
        <v>0.0100019759302257</v>
      </c>
      <c r="I3072" t="n">
        <v>0.7508235516530191</v>
      </c>
      <c r="J3072" t="n">
        <v>0.0022943061448535</v>
      </c>
      <c r="K3072" t="n">
        <v>0.8159407762140339</v>
      </c>
      <c r="L3072" t="b">
        <v>0</v>
      </c>
      <c r="M3072" t="b">
        <v>0</v>
      </c>
      <c r="N3072" t="inlineStr">
        <is>
          <t>ref</t>
        </is>
      </c>
      <c r="O3072" t="n">
        <v>100</v>
      </c>
      <c r="P3072" t="n">
        <v>0.015594</v>
      </c>
      <c r="Q3072" t="n">
        <v>-100</v>
      </c>
      <c r="R3072" t="n">
        <v>0.2903</v>
      </c>
      <c r="S3072">
        <f>IMAGE("https://mitra.stanford.edu/kundaje/oak/projects/neuro-variants/variant_position/credible/roussos_2024/variant_figures/roussos_2024.adolescence.Astrocyte/rs223329_count_position.png",4,220,900)</f>
        <v/>
      </c>
      <c r="T3072">
        <f>IMAGE("https://mitra.stanford.edu/kundaje/oak/projects/neuro-variants/variant_position/credible/roussos_2024/variant_figures/roussos_2024.adolescence.Astrocyte/rs223329_profile_position.png",4,220,900)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-0.0289710749999999</v>
      </c>
      <c r="G3073" t="n">
        <v>0.4489896531693071</v>
      </c>
      <c r="H3073" t="n">
        <v>0.014568733270506</v>
      </c>
      <c r="I3073" t="n">
        <v>0.3504603534030445</v>
      </c>
      <c r="J3073" t="n">
        <v>0.2383118713467643</v>
      </c>
      <c r="K3073" t="n">
        <v>0.1716910067359466</v>
      </c>
      <c r="L3073" t="b">
        <v>0</v>
      </c>
      <c r="M3073" t="b">
        <v>0</v>
      </c>
      <c r="N3073" t="inlineStr">
        <is>
          <t>ref</t>
        </is>
      </c>
      <c r="O3073" t="n">
        <v>85</v>
      </c>
      <c r="P3073" t="n">
        <v>0.02896</v>
      </c>
      <c r="Q3073" t="n">
        <v>90</v>
      </c>
      <c r="R3073" t="n">
        <v>0.333</v>
      </c>
      <c r="S3073">
        <f>IMAGE("https://mitra.stanford.edu/kundaje/oak/projects/neuro-variants/variant_position/credible/roussos_2024/variant_figures/roussos_2024.adolescence.Astrocyte/rs223311_count_position.png",4,220,900)</f>
        <v/>
      </c>
      <c r="T3073">
        <f>IMAGE("https://mitra.stanford.edu/kundaje/oak/projects/neuro-variants/variant_position/credible/roussos_2024/variant_figures/roussos_2024.adolescence.Astrocyte/rs223311_profile_position.png",4,220,900)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0.2088610679999999</v>
      </c>
      <c r="G3074" t="n">
        <v>0.0161964682246548</v>
      </c>
      <c r="H3074" t="n">
        <v>0.0276378118336187</v>
      </c>
      <c r="I3074" t="n">
        <v>0.0450170153271863</v>
      </c>
      <c r="J3074" t="n">
        <v>0.2513329673916268</v>
      </c>
      <c r="K3074" t="n">
        <v>0.1650443764410001</v>
      </c>
      <c r="L3074" t="b">
        <v>1</v>
      </c>
      <c r="M3074" t="b">
        <v>0</v>
      </c>
      <c r="N3074" t="inlineStr">
        <is>
          <t>alt</t>
        </is>
      </c>
      <c r="O3074" t="n">
        <v>-100</v>
      </c>
      <c r="P3074" t="n">
        <v>0.01955</v>
      </c>
      <c r="Q3074" t="n">
        <v>-100</v>
      </c>
      <c r="R3074" t="n">
        <v>0.3203</v>
      </c>
      <c r="S3074">
        <f>IMAGE("https://mitra.stanford.edu/kundaje/oak/projects/neuro-variants/variant_position/credible/roussos_2024/variant_figures/roussos_2024.adolescence.Astrocyte/rs223310_count_position.png",4,220,900)</f>
        <v/>
      </c>
      <c r="T3074">
        <f>IMAGE("https://mitra.stanford.edu/kundaje/oak/projects/neuro-variants/variant_position/credible/roussos_2024/variant_figures/roussos_2024.adolescence.Astrocyte/rs223310_profile_position.png",4,220,900)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0.06340469560000001</v>
      </c>
      <c r="G3075" t="n">
        <v>0.1646516709868676</v>
      </c>
      <c r="H3075" t="n">
        <v>0.0103242801756634</v>
      </c>
      <c r="I3075" t="n">
        <v>0.7087305229073605</v>
      </c>
      <c r="J3075" t="n">
        <v>0.0027208260392249</v>
      </c>
      <c r="K3075" t="n">
        <v>0.8068812910470941</v>
      </c>
      <c r="L3075" t="b">
        <v>0</v>
      </c>
      <c r="M3075" t="b">
        <v>0</v>
      </c>
      <c r="N3075" t="inlineStr">
        <is>
          <t>alt</t>
        </is>
      </c>
      <c r="O3075" t="n">
        <v>95</v>
      </c>
      <c r="P3075" t="n">
        <v>0.010765</v>
      </c>
      <c r="Q3075" t="n">
        <v>40</v>
      </c>
      <c r="R3075" t="n">
        <v>0.03644</v>
      </c>
      <c r="S3075">
        <f>IMAGE("https://mitra.stanford.edu/kundaje/oak/projects/neuro-variants/variant_position/credible/roussos_2024/variant_figures/roussos_2024.adolescence.Astrocyte/rs6830407_count_position.png",4,220,900)</f>
        <v/>
      </c>
      <c r="T3075">
        <f>IMAGE("https://mitra.stanford.edu/kundaje/oak/projects/neuro-variants/variant_position/credible/roussos_2024/variant_figures/roussos_2024.adolescence.Astrocyte/rs6830407_profile_position.png",4,220,900)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-0.00687090638</v>
      </c>
      <c r="G3076" t="n">
        <v>0.8200134948884784</v>
      </c>
      <c r="H3076" t="n">
        <v>0.0343976720223169</v>
      </c>
      <c r="I3076" t="n">
        <v>0.0181792830431572</v>
      </c>
      <c r="J3076" t="n">
        <v>0.0502529448417054</v>
      </c>
      <c r="K3076" t="n">
        <v>0.4335155376738158</v>
      </c>
      <c r="L3076" t="b">
        <v>1</v>
      </c>
      <c r="M3076" t="b">
        <v>0</v>
      </c>
      <c r="N3076" t="inlineStr">
        <is>
          <t>ref</t>
        </is>
      </c>
      <c r="O3076" t="n">
        <v>90</v>
      </c>
      <c r="P3076" t="n">
        <v>0.008484</v>
      </c>
      <c r="Q3076" t="n">
        <v>80</v>
      </c>
      <c r="R3076" t="n">
        <v>0.11273</v>
      </c>
      <c r="S3076">
        <f>IMAGE("https://mitra.stanford.edu/kundaje/oak/projects/neuro-variants/variant_position/credible/roussos_2024/variant_figures/roussos_2024.adolescence.Astrocyte/rs10012413_count_position.png",4,220,900)</f>
        <v/>
      </c>
      <c r="T3076">
        <f>IMAGE("https://mitra.stanford.edu/kundaje/oak/projects/neuro-variants/variant_position/credible/roussos_2024/variant_figures/roussos_2024.adolescence.Astrocyte/rs10012413_profile_position.png",4,220,900)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0.37496668</v>
      </c>
      <c r="G3077" t="n">
        <v>0.0037619655505261</v>
      </c>
      <c r="H3077" t="n">
        <v>0.0460652005898585</v>
      </c>
      <c r="I3077" t="n">
        <v>0.0075435825776319</v>
      </c>
      <c r="J3077" t="n">
        <v>0.0138377889208675</v>
      </c>
      <c r="K3077" t="n">
        <v>0.6148903758171921</v>
      </c>
      <c r="L3077" t="b">
        <v>1</v>
      </c>
      <c r="M3077" t="b">
        <v>1</v>
      </c>
      <c r="N3077" t="inlineStr">
        <is>
          <t>alt</t>
        </is>
      </c>
      <c r="O3077" t="n">
        <v>100</v>
      </c>
      <c r="P3077" t="n">
        <v>0.004143</v>
      </c>
      <c r="Q3077" t="n">
        <v>-75</v>
      </c>
      <c r="R3077" t="n">
        <v>0.0713</v>
      </c>
      <c r="S3077">
        <f>IMAGE("https://mitra.stanford.edu/kundaje/oak/projects/neuro-variants/variant_position/credible/roussos_2024/variant_figures/roussos_2024.adolescence.Astrocyte/rs4699033_count_position.png",4,220,900)</f>
        <v/>
      </c>
      <c r="T3077">
        <f>IMAGE("https://mitra.stanford.edu/kundaje/oak/projects/neuro-variants/variant_position/credible/roussos_2024/variant_figures/roussos_2024.adolescence.Astrocyte/rs4699033_profile_position.png",4,220,900)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-0.06715296799999999</v>
      </c>
      <c r="G3078" t="n">
        <v>0.1570404481352313</v>
      </c>
      <c r="H3078" t="n">
        <v>0.0116536756593761</v>
      </c>
      <c r="I3078" t="n">
        <v>0.593166450649894</v>
      </c>
      <c r="J3078" t="n">
        <v>0.003923983028217</v>
      </c>
      <c r="K3078" t="n">
        <v>0.7869750593611454</v>
      </c>
      <c r="L3078" t="b">
        <v>0</v>
      </c>
      <c r="M3078" t="b">
        <v>0</v>
      </c>
      <c r="N3078" t="inlineStr">
        <is>
          <t>ref</t>
        </is>
      </c>
      <c r="O3078" t="n">
        <v>25</v>
      </c>
      <c r="P3078" t="n">
        <v>0.00946</v>
      </c>
      <c r="Q3078" t="n">
        <v>-10</v>
      </c>
      <c r="R3078" t="n">
        <v>0.02417</v>
      </c>
      <c r="S3078">
        <f>IMAGE("https://mitra.stanford.edu/kundaje/oak/projects/neuro-variants/variant_position/credible/roussos_2024/variant_figures/roussos_2024.adolescence.Astrocyte/rs6821247_count_position.png",4,220,900)</f>
        <v/>
      </c>
      <c r="T3078">
        <f>IMAGE("https://mitra.stanford.edu/kundaje/oak/projects/neuro-variants/variant_position/credible/roussos_2024/variant_figures/roussos_2024.adolescence.Astrocyte/rs6821247_profile_position.png",4,220,900)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-0.0334544584</v>
      </c>
      <c r="G3079" t="n">
        <v>0.3867343105894734</v>
      </c>
      <c r="H3079" t="n">
        <v>0.0140774907735251</v>
      </c>
      <c r="I3079" t="n">
        <v>0.3802226479911092</v>
      </c>
      <c r="J3079" t="n">
        <v>0.0156773877696346</v>
      </c>
      <c r="K3079" t="n">
        <v>0.6184314326969076</v>
      </c>
      <c r="L3079" t="b">
        <v>0</v>
      </c>
      <c r="M3079" t="b">
        <v>0</v>
      </c>
      <c r="N3079" t="inlineStr">
        <is>
          <t>ref</t>
        </is>
      </c>
      <c r="O3079" t="n">
        <v>-65</v>
      </c>
      <c r="P3079" t="n">
        <v>0.0041</v>
      </c>
      <c r="Q3079" t="n">
        <v>70</v>
      </c>
      <c r="R3079" t="n">
        <v>0.1298</v>
      </c>
      <c r="S3079">
        <f>IMAGE("https://mitra.stanford.edu/kundaje/oak/projects/neuro-variants/variant_position/credible/roussos_2024/variant_figures/roussos_2024.adolescence.Astrocyte/rs59550147_count_position.png",4,220,900)</f>
        <v/>
      </c>
      <c r="T3079">
        <f>IMAGE("https://mitra.stanford.edu/kundaje/oak/projects/neuro-variants/variant_position/credible/roussos_2024/variant_figures/roussos_2024.adolescence.Astrocyte/rs59550147_profile_position.png",4,220,900)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-0.0447789782</v>
      </c>
      <c r="G3080" t="n">
        <v>0.27360204331563</v>
      </c>
      <c r="H3080" t="n">
        <v>0.0115923277179828</v>
      </c>
      <c r="I3080" t="n">
        <v>0.599079713178467</v>
      </c>
      <c r="J3080" t="n">
        <v>2.373675933893125e-05</v>
      </c>
      <c r="K3080" t="n">
        <v>0.9996063599041062</v>
      </c>
      <c r="L3080" t="b">
        <v>0</v>
      </c>
      <c r="M3080" t="b">
        <v>0</v>
      </c>
      <c r="N3080" t="inlineStr">
        <is>
          <t>ref</t>
        </is>
      </c>
      <c r="O3080" t="n">
        <v>-70</v>
      </c>
      <c r="P3080" t="n">
        <v>0.007027</v>
      </c>
      <c r="Q3080" t="n">
        <v>100</v>
      </c>
      <c r="R3080" t="n">
        <v>0.193</v>
      </c>
      <c r="S3080">
        <f>IMAGE("https://mitra.stanford.edu/kundaje/oak/projects/neuro-variants/variant_position/credible/roussos_2024/variant_figures/roussos_2024.adolescence.Astrocyte/rs7437714_count_position.png",4,220,900)</f>
        <v/>
      </c>
      <c r="T3080">
        <f>IMAGE("https://mitra.stanford.edu/kundaje/oak/projects/neuro-variants/variant_position/credible/roussos_2024/variant_figures/roussos_2024.adolescence.Astrocyte/rs7437714_profile_position.png",4,220,900)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-0.1235647856</v>
      </c>
      <c r="G3081" t="n">
        <v>0.0558593060342865</v>
      </c>
      <c r="H3081" t="n">
        <v>0.0274154518638986</v>
      </c>
      <c r="I3081" t="n">
        <v>0.0465549230800327</v>
      </c>
      <c r="J3081" t="n">
        <v>0.0566559356733821</v>
      </c>
      <c r="K3081" t="n">
        <v>0.4308978817160359</v>
      </c>
      <c r="L3081" t="b">
        <v>0</v>
      </c>
      <c r="M3081" t="b">
        <v>0</v>
      </c>
      <c r="N3081" t="inlineStr">
        <is>
          <t>ref</t>
        </is>
      </c>
      <c r="O3081" t="n">
        <v>45</v>
      </c>
      <c r="P3081" t="n">
        <v>0.0108</v>
      </c>
      <c r="Q3081" t="n">
        <v>55</v>
      </c>
      <c r="R3081" t="n">
        <v>0.1584</v>
      </c>
      <c r="S3081">
        <f>IMAGE("https://mitra.stanford.edu/kundaje/oak/projects/neuro-variants/variant_position/credible/roussos_2024/variant_figures/roussos_2024.adolescence.Astrocyte/rs3974602_count_position.png",4,220,900)</f>
        <v/>
      </c>
      <c r="T3081">
        <f>IMAGE("https://mitra.stanford.edu/kundaje/oak/projects/neuro-variants/variant_position/credible/roussos_2024/variant_figures/roussos_2024.adolescence.Astrocyte/rs3974602_profile_position.png",4,220,900)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0.01785605414</v>
      </c>
      <c r="G3082" t="n">
        <v>0.2100308369507277</v>
      </c>
      <c r="H3082" t="n">
        <v>0.0115509721056877</v>
      </c>
      <c r="I3082" t="n">
        <v>0.5843903310750507</v>
      </c>
      <c r="J3082" t="n">
        <v>0.0130003263804408</v>
      </c>
      <c r="K3082" t="n">
        <v>0.644238508990796</v>
      </c>
      <c r="L3082" t="b">
        <v>0</v>
      </c>
      <c r="M3082" t="b">
        <v>0</v>
      </c>
      <c r="N3082" t="inlineStr">
        <is>
          <t>alt</t>
        </is>
      </c>
      <c r="O3082" t="n">
        <v>-60</v>
      </c>
      <c r="P3082" t="n">
        <v>0.005173</v>
      </c>
      <c r="Q3082" t="n">
        <v>45</v>
      </c>
      <c r="R3082" t="n">
        <v>0.08495999999999999</v>
      </c>
      <c r="S3082">
        <f>IMAGE("https://mitra.stanford.edu/kundaje/oak/projects/neuro-variants/variant_position/credible/roussos_2024/variant_figures/roussos_2024.adolescence.Astrocyte/rs7676943_count_position.png",4,220,900)</f>
        <v/>
      </c>
      <c r="T3082">
        <f>IMAGE("https://mitra.stanford.edu/kundaje/oak/projects/neuro-variants/variant_position/credible/roussos_2024/variant_figures/roussos_2024.adolescence.Astrocyte/rs7676943_profile_position.png",4,220,900)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0.145020286</v>
      </c>
      <c r="G3083" t="n">
        <v>0.0381230856662343</v>
      </c>
      <c r="H3083" t="n">
        <v>0.0195729030893202</v>
      </c>
      <c r="I3083" t="n">
        <v>0.1535063129897686</v>
      </c>
      <c r="J3083" t="n">
        <v>0.0165296857846482</v>
      </c>
      <c r="K3083" t="n">
        <v>0.6304904921613629</v>
      </c>
      <c r="L3083" t="b">
        <v>0</v>
      </c>
      <c r="M3083" t="b">
        <v>0</v>
      </c>
      <c r="N3083" t="inlineStr">
        <is>
          <t>alt</t>
        </is>
      </c>
      <c r="O3083" t="n">
        <v>-95</v>
      </c>
      <c r="P3083" t="n">
        <v>0.006012</v>
      </c>
      <c r="Q3083" t="n">
        <v>-65</v>
      </c>
      <c r="R3083" t="n">
        <v>0.04904</v>
      </c>
      <c r="S3083">
        <f>IMAGE("https://mitra.stanford.edu/kundaje/oak/projects/neuro-variants/variant_position/credible/roussos_2024/variant_figures/roussos_2024.adolescence.Astrocyte/rs4446311_count_position.png",4,220,900)</f>
        <v/>
      </c>
      <c r="T3083">
        <f>IMAGE("https://mitra.stanford.edu/kundaje/oak/projects/neuro-variants/variant_position/credible/roussos_2024/variant_figures/roussos_2024.adolescence.Astrocyte/rs4446311_profile_position.png",4,220,900)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0.0309588934</v>
      </c>
      <c r="G3084" t="n">
        <v>0.4110517155577771</v>
      </c>
      <c r="H3084" t="n">
        <v>0.0324770648596816</v>
      </c>
      <c r="I3084" t="n">
        <v>0.0232514524458188</v>
      </c>
      <c r="J3084" t="n">
        <v>0.0125879001869269</v>
      </c>
      <c r="K3084" t="n">
        <v>0.6827167810866234</v>
      </c>
      <c r="L3084" t="b">
        <v>0</v>
      </c>
      <c r="M3084" t="b">
        <v>0</v>
      </c>
      <c r="N3084" t="inlineStr">
        <is>
          <t>alt</t>
        </is>
      </c>
      <c r="O3084" t="n">
        <v>-85</v>
      </c>
      <c r="P3084" t="n">
        <v>0.003662</v>
      </c>
      <c r="Q3084" t="n">
        <v>100</v>
      </c>
      <c r="R3084" t="n">
        <v>0.1387</v>
      </c>
      <c r="S3084">
        <f>IMAGE("https://mitra.stanford.edu/kundaje/oak/projects/neuro-variants/variant_position/credible/roussos_2024/variant_figures/roussos_2024.adolescence.Astrocyte/rs6419160_count_position.png",4,220,900)</f>
        <v/>
      </c>
      <c r="T3084">
        <f>IMAGE("https://mitra.stanford.edu/kundaje/oak/projects/neuro-variants/variant_position/credible/roussos_2024/variant_figures/roussos_2024.adolescence.Astrocyte/rs6419160_profile_position.png",4,220,900)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-0.03083468368</v>
      </c>
      <c r="G3085" t="n">
        <v>0.4333438511581929</v>
      </c>
      <c r="H3085" t="n">
        <v>0.0362513779812083</v>
      </c>
      <c r="I3085" t="n">
        <v>0.0150246647488641</v>
      </c>
      <c r="J3085" t="n">
        <v>0.0086016081654451</v>
      </c>
      <c r="K3085" t="n">
        <v>0.705924362443359</v>
      </c>
      <c r="L3085" t="b">
        <v>0</v>
      </c>
      <c r="M3085" t="b">
        <v>0</v>
      </c>
      <c r="N3085" t="inlineStr">
        <is>
          <t>ref</t>
        </is>
      </c>
      <c r="O3085" t="n">
        <v>85</v>
      </c>
      <c r="P3085" t="n">
        <v>0.00714</v>
      </c>
      <c r="Q3085" t="n">
        <v>30</v>
      </c>
      <c r="R3085" t="n">
        <v>0.06809999999999999</v>
      </c>
      <c r="S3085">
        <f>IMAGE("https://mitra.stanford.edu/kundaje/oak/projects/neuro-variants/variant_position/credible/roussos_2024/variant_figures/roussos_2024.adolescence.Astrocyte/rs10017565_count_position.png",4,220,900)</f>
        <v/>
      </c>
      <c r="T3085">
        <f>IMAGE("https://mitra.stanford.edu/kundaje/oak/projects/neuro-variants/variant_position/credible/roussos_2024/variant_figures/roussos_2024.adolescence.Astrocyte/rs10017565_profile_position.png",4,220,900)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0.0155595760439999</v>
      </c>
      <c r="G3086" t="n">
        <v>0.6285267654183533</v>
      </c>
      <c r="H3086" t="n">
        <v>0.0203269283765772</v>
      </c>
      <c r="I3086" t="n">
        <v>0.1300441082313922</v>
      </c>
      <c r="J3086" t="n">
        <v>0.0148495682876894</v>
      </c>
      <c r="K3086" t="n">
        <v>0.6431907929524372</v>
      </c>
      <c r="L3086" t="b">
        <v>0</v>
      </c>
      <c r="M3086" t="b">
        <v>0</v>
      </c>
      <c r="N3086" t="inlineStr">
        <is>
          <t>alt</t>
        </is>
      </c>
      <c r="O3086" t="n">
        <v>100</v>
      </c>
      <c r="P3086" t="n">
        <v>0.01941</v>
      </c>
      <c r="Q3086" t="n">
        <v>35</v>
      </c>
      <c r="R3086" t="n">
        <v>0.00775</v>
      </c>
      <c r="S3086">
        <f>IMAGE("https://mitra.stanford.edu/kundaje/oak/projects/neuro-variants/variant_position/credible/roussos_2024/variant_figures/roussos_2024.adolescence.Astrocyte/rs11724035_count_position.png",4,220,900)</f>
        <v/>
      </c>
      <c r="T3086">
        <f>IMAGE("https://mitra.stanford.edu/kundaje/oak/projects/neuro-variants/variant_position/credible/roussos_2024/variant_figures/roussos_2024.adolescence.Astrocyte/rs11724035_profile_position.png",4,220,900)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-0.0186162382</v>
      </c>
      <c r="G3087" t="n">
        <v>0.5646554512986249</v>
      </c>
      <c r="H3087" t="n">
        <v>0.0098619345805918</v>
      </c>
      <c r="I3087" t="n">
        <v>0.7702489841586306</v>
      </c>
      <c r="J3087" t="n">
        <v>0.0006846571521822</v>
      </c>
      <c r="K3087" t="n">
        <v>0.9128629868441324</v>
      </c>
      <c r="L3087" t="b">
        <v>0</v>
      </c>
      <c r="M3087" t="b">
        <v>0</v>
      </c>
      <c r="N3087" t="inlineStr">
        <is>
          <t>ref</t>
        </is>
      </c>
      <c r="O3087" t="n">
        <v>-100</v>
      </c>
      <c r="P3087" t="n">
        <v>0.01659</v>
      </c>
      <c r="Q3087" t="n">
        <v>-100</v>
      </c>
      <c r="R3087" t="n">
        <v>0.1227</v>
      </c>
      <c r="S3087">
        <f>IMAGE("https://mitra.stanford.edu/kundaje/oak/projects/neuro-variants/variant_position/credible/roussos_2024/variant_figures/roussos_2024.adolescence.Astrocyte/rs6829718_count_position.png",4,220,900)</f>
        <v/>
      </c>
      <c r="T3087">
        <f>IMAGE("https://mitra.stanford.edu/kundaje/oak/projects/neuro-variants/variant_position/credible/roussos_2024/variant_figures/roussos_2024.adolescence.Astrocyte/rs6829718_profile_position.png",4,220,900)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0.313652314</v>
      </c>
      <c r="G3088" t="n">
        <v>0.0053506037343738</v>
      </c>
      <c r="H3088" t="n">
        <v>0.0424510969240576</v>
      </c>
      <c r="I3088" t="n">
        <v>0.007551719871728</v>
      </c>
      <c r="J3088" t="n">
        <v>0.07722532118802471</v>
      </c>
      <c r="K3088" t="n">
        <v>0.3655897110546015</v>
      </c>
      <c r="L3088" t="b">
        <v>1</v>
      </c>
      <c r="M3088" t="b">
        <v>1</v>
      </c>
      <c r="N3088" t="inlineStr">
        <is>
          <t>alt</t>
        </is>
      </c>
      <c r="O3088" t="n">
        <v>-85</v>
      </c>
      <c r="P3088" t="n">
        <v>0.010925</v>
      </c>
      <c r="Q3088" t="n">
        <v>-65</v>
      </c>
      <c r="R3088" t="n">
        <v>0.05054</v>
      </c>
      <c r="S3088">
        <f>IMAGE("https://mitra.stanford.edu/kundaje/oak/projects/neuro-variants/variant_position/credible/roussos_2024/variant_figures/roussos_2024.adolescence.Astrocyte/rs4235409_count_position.png",4,220,900)</f>
        <v/>
      </c>
      <c r="T3088">
        <f>IMAGE("https://mitra.stanford.edu/kundaje/oak/projects/neuro-variants/variant_position/credible/roussos_2024/variant_figures/roussos_2024.adolescence.Astrocyte/rs4235409_profile_position.png",4,220,900)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-0.1010064675999999</v>
      </c>
      <c r="G3089" t="n">
        <v>0.07777251723931319</v>
      </c>
      <c r="H3089" t="n">
        <v>0.0136511011094502</v>
      </c>
      <c r="I3089" t="n">
        <v>0.416628306152396</v>
      </c>
      <c r="J3089" t="n">
        <v>0.0005259175741031</v>
      </c>
      <c r="K3089" t="n">
        <v>0.92905097756749</v>
      </c>
      <c r="L3089" t="b">
        <v>0</v>
      </c>
      <c r="M3089" t="b">
        <v>0</v>
      </c>
      <c r="N3089" t="inlineStr">
        <is>
          <t>ref</t>
        </is>
      </c>
      <c r="O3089" t="n">
        <v>-100</v>
      </c>
      <c r="P3089" t="n">
        <v>0.00528</v>
      </c>
      <c r="Q3089" t="n">
        <v>-85</v>
      </c>
      <c r="R3089" t="n">
        <v>0.0504</v>
      </c>
      <c r="S3089">
        <f>IMAGE("https://mitra.stanford.edu/kundaje/oak/projects/neuro-variants/variant_position/credible/roussos_2024/variant_figures/roussos_2024.adolescence.Astrocyte/rs3857198_count_position.png",4,220,900)</f>
        <v/>
      </c>
      <c r="T3089">
        <f>IMAGE("https://mitra.stanford.edu/kundaje/oak/projects/neuro-variants/variant_position/credible/roussos_2024/variant_figures/roussos_2024.adolescence.Astrocyte/rs3857198_profile_position.png",4,220,900)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-0.0275183238</v>
      </c>
      <c r="G3090" t="n">
        <v>0.4361490386873357</v>
      </c>
      <c r="H3090" t="n">
        <v>0.0275580808145258</v>
      </c>
      <c r="I3090" t="n">
        <v>0.0437839794303589</v>
      </c>
      <c r="J3090" t="n">
        <v>0.0636308340503812</v>
      </c>
      <c r="K3090" t="n">
        <v>0.3953727136621009</v>
      </c>
      <c r="L3090" t="b">
        <v>0</v>
      </c>
      <c r="M3090" t="b">
        <v>0</v>
      </c>
      <c r="N3090" t="inlineStr">
        <is>
          <t>ref</t>
        </is>
      </c>
      <c r="O3090" t="n">
        <v>95</v>
      </c>
      <c r="P3090" t="n">
        <v>0.01314</v>
      </c>
      <c r="Q3090" t="n">
        <v>60</v>
      </c>
      <c r="R3090" t="n">
        <v>0.08813</v>
      </c>
      <c r="S3090">
        <f>IMAGE("https://mitra.stanford.edu/kundaje/oak/projects/neuro-variants/variant_position/credible/roussos_2024/variant_figures/roussos_2024.adolescence.Astrocyte/rs4698867_count_position.png",4,220,900)</f>
        <v/>
      </c>
      <c r="T3090">
        <f>IMAGE("https://mitra.stanford.edu/kundaje/oak/projects/neuro-variants/variant_position/credible/roussos_2024/variant_figures/roussos_2024.adolescence.Astrocyte/rs4698867_profile_position.png",4,220,900)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0.0442868768</v>
      </c>
      <c r="G3091" t="n">
        <v>0.2780334236492524</v>
      </c>
      <c r="H3091" t="n">
        <v>0.0131680316234145</v>
      </c>
      <c r="I3091" t="n">
        <v>0.4370046190722658</v>
      </c>
      <c r="J3091" t="n">
        <v>0.000458416164733</v>
      </c>
      <c r="K3091" t="n">
        <v>0.9312783649399026</v>
      </c>
      <c r="L3091" t="b">
        <v>0</v>
      </c>
      <c r="M3091" t="b">
        <v>0</v>
      </c>
      <c r="N3091" t="inlineStr">
        <is>
          <t>alt</t>
        </is>
      </c>
      <c r="O3091" t="n">
        <v>100</v>
      </c>
      <c r="P3091" t="n">
        <v>0.01599</v>
      </c>
      <c r="Q3091" t="n">
        <v>100</v>
      </c>
      <c r="R3091" t="n">
        <v>0.06635000000000001</v>
      </c>
      <c r="S3091">
        <f>IMAGE("https://mitra.stanford.edu/kundaje/oak/projects/neuro-variants/variant_position/credible/roussos_2024/variant_figures/roussos_2024.adolescence.Astrocyte/rs7659468_count_position.png",4,220,900)</f>
        <v/>
      </c>
      <c r="T3091">
        <f>IMAGE("https://mitra.stanford.edu/kundaje/oak/projects/neuro-variants/variant_position/credible/roussos_2024/variant_figures/roussos_2024.adolescence.Astrocyte/rs7659468_profile_position.png",4,220,900)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0.055304264</v>
      </c>
      <c r="G3092" t="n">
        <v>0.202643306287409</v>
      </c>
      <c r="H3092" t="n">
        <v>0.0206586657320419</v>
      </c>
      <c r="I3092" t="n">
        <v>0.121904235260386</v>
      </c>
      <c r="J3092" t="n">
        <v>0.0009346348989703001</v>
      </c>
      <c r="K3092" t="n">
        <v>0.8818640538135357</v>
      </c>
      <c r="L3092" t="b">
        <v>0</v>
      </c>
      <c r="M3092" t="b">
        <v>0</v>
      </c>
      <c r="N3092" t="inlineStr">
        <is>
          <t>alt</t>
        </is>
      </c>
      <c r="O3092" t="n">
        <v>100</v>
      </c>
      <c r="P3092" t="n">
        <v>0.0338</v>
      </c>
      <c r="Q3092" t="n">
        <v>95</v>
      </c>
      <c r="R3092" t="n">
        <v>0.04572</v>
      </c>
      <c r="S3092">
        <f>IMAGE("https://mitra.stanford.edu/kundaje/oak/projects/neuro-variants/variant_position/credible/roussos_2024/variant_figures/roussos_2024.adolescence.Astrocyte/rs4699044_count_position.png",4,220,900)</f>
        <v/>
      </c>
      <c r="T3092">
        <f>IMAGE("https://mitra.stanford.edu/kundaje/oak/projects/neuro-variants/variant_position/credible/roussos_2024/variant_figures/roussos_2024.adolescence.Astrocyte/rs4699044_profile_position.png",4,220,900)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-0.0448129394</v>
      </c>
      <c r="G3093" t="n">
        <v>0.2975131478082083</v>
      </c>
      <c r="H3093" t="n">
        <v>0.011092692511993</v>
      </c>
      <c r="I3093" t="n">
        <v>0.6250718129701995</v>
      </c>
      <c r="J3093" t="n">
        <v>6.156721953534169e-05</v>
      </c>
      <c r="K3093" t="n">
        <v>0.9913513717102936</v>
      </c>
      <c r="L3093" t="b">
        <v>0</v>
      </c>
      <c r="M3093" t="b">
        <v>0</v>
      </c>
      <c r="N3093" t="inlineStr">
        <is>
          <t>ref</t>
        </is>
      </c>
      <c r="O3093" t="n">
        <v>0</v>
      </c>
      <c r="P3093" t="n">
        <v>0</v>
      </c>
      <c r="Q3093" t="n">
        <v>-95</v>
      </c>
      <c r="R3093" t="n">
        <v>0.06945999999999999</v>
      </c>
      <c r="S3093">
        <f>IMAGE("https://mitra.stanford.edu/kundaje/oak/projects/neuro-variants/variant_position/credible/roussos_2024/variant_figures/roussos_2024.adolescence.Astrocyte/rs12508069_count_position.png",4,220,900)</f>
        <v/>
      </c>
      <c r="T3093">
        <f>IMAGE("https://mitra.stanford.edu/kundaje/oak/projects/neuro-variants/variant_position/credible/roussos_2024/variant_figures/roussos_2024.adolescence.Astrocyte/rs12508069_profile_position.png",4,220,900)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-0.0205267931999999</v>
      </c>
      <c r="G3094" t="n">
        <v>0.4308363450375916</v>
      </c>
      <c r="H3094" t="n">
        <v>0.0365307878085006</v>
      </c>
      <c r="I3094" t="n">
        <v>0.0141470306925338</v>
      </c>
      <c r="J3094" t="n">
        <v>0.0159533275969497</v>
      </c>
      <c r="K3094" t="n">
        <v>0.6216142115097254</v>
      </c>
      <c r="L3094" t="b">
        <v>1</v>
      </c>
      <c r="M3094" t="b">
        <v>0</v>
      </c>
      <c r="N3094" t="inlineStr">
        <is>
          <t>ref</t>
        </is>
      </c>
      <c r="O3094" t="n">
        <v>0</v>
      </c>
      <c r="P3094" t="n">
        <v>0</v>
      </c>
      <c r="Q3094" t="n">
        <v>-40</v>
      </c>
      <c r="R3094" t="n">
        <v>0.05286</v>
      </c>
      <c r="S3094">
        <f>IMAGE("https://mitra.stanford.edu/kundaje/oak/projects/neuro-variants/variant_position/credible/roussos_2024/variant_figures/roussos_2024.adolescence.Astrocyte/rs7688940_count_position.png",4,220,900)</f>
        <v/>
      </c>
      <c r="T3094">
        <f>IMAGE("https://mitra.stanford.edu/kundaje/oak/projects/neuro-variants/variant_position/credible/roussos_2024/variant_figures/roussos_2024.adolescence.Astrocyte/rs7688940_profile_position.png",4,220,900)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0.018890756</v>
      </c>
      <c r="G3095" t="n">
        <v>0.5436137641030753</v>
      </c>
      <c r="H3095" t="n">
        <v>0.0100183134533223</v>
      </c>
      <c r="I3095" t="n">
        <v>0.7265200774082311</v>
      </c>
      <c r="J3095" t="n">
        <v>0.0007388066344242</v>
      </c>
      <c r="K3095" t="n">
        <v>0.897323378198767</v>
      </c>
      <c r="L3095" t="b">
        <v>0</v>
      </c>
      <c r="M3095" t="b">
        <v>0</v>
      </c>
      <c r="N3095" t="inlineStr">
        <is>
          <t>alt</t>
        </is>
      </c>
      <c r="O3095" t="n">
        <v>-95</v>
      </c>
      <c r="P3095" t="n">
        <v>0.000717</v>
      </c>
      <c r="Q3095" t="n">
        <v>-85</v>
      </c>
      <c r="R3095" t="n">
        <v>0.148</v>
      </c>
      <c r="S3095">
        <f>IMAGE("https://mitra.stanford.edu/kundaje/oak/projects/neuro-variants/variant_position/credible/roussos_2024/variant_figures/roussos_2024.adolescence.Astrocyte/rs13117110_count_position.png",4,220,900)</f>
        <v/>
      </c>
      <c r="T3095">
        <f>IMAGE("https://mitra.stanford.edu/kundaje/oak/projects/neuro-variants/variant_position/credible/roussos_2024/variant_figures/roussos_2024.adolescence.Astrocyte/rs13117110_profile_position.png",4,220,900)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-0.03370964546</v>
      </c>
      <c r="G3096" t="n">
        <v>0.414482382165012</v>
      </c>
      <c r="H3096" t="n">
        <v>0.0146338887440247</v>
      </c>
      <c r="I3096" t="n">
        <v>0.3425995129663615</v>
      </c>
      <c r="J3096" t="n">
        <v>0.0153539744236417</v>
      </c>
      <c r="K3096" t="n">
        <v>0.6183222803318927</v>
      </c>
      <c r="L3096" t="b">
        <v>0</v>
      </c>
      <c r="M3096" t="b">
        <v>0</v>
      </c>
      <c r="N3096" t="inlineStr">
        <is>
          <t>ref</t>
        </is>
      </c>
      <c r="O3096" t="n">
        <v>-100</v>
      </c>
      <c r="P3096" t="n">
        <v>0.002602</v>
      </c>
      <c r="Q3096" t="n">
        <v>70</v>
      </c>
      <c r="R3096" t="n">
        <v>0.07056</v>
      </c>
      <c r="S3096">
        <f>IMAGE("https://mitra.stanford.edu/kundaje/oak/projects/neuro-variants/variant_position/credible/roussos_2024/variant_figures/roussos_2024.adolescence.Astrocyte/rs7695096_count_position.png",4,220,900)</f>
        <v/>
      </c>
      <c r="T3096">
        <f>IMAGE("https://mitra.stanford.edu/kundaje/oak/projects/neuro-variants/variant_position/credible/roussos_2024/variant_figures/roussos_2024.adolescence.Astrocyte/rs7695096_profile_position.png",4,220,900)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-0.009842671779999999</v>
      </c>
      <c r="G3097" t="n">
        <v>0.7365073408618105</v>
      </c>
      <c r="H3097" t="n">
        <v>0.0184282630368014</v>
      </c>
      <c r="I3097" t="n">
        <v>0.1806498934278163</v>
      </c>
      <c r="J3097" t="n">
        <v>0.1505214669317271</v>
      </c>
      <c r="K3097" t="n">
        <v>0.2513408656760496</v>
      </c>
      <c r="L3097" t="b">
        <v>0</v>
      </c>
      <c r="M3097" t="b">
        <v>0</v>
      </c>
      <c r="N3097" t="inlineStr">
        <is>
          <t>ref</t>
        </is>
      </c>
      <c r="O3097" t="n">
        <v>25</v>
      </c>
      <c r="P3097" t="n">
        <v>0.008545000000000001</v>
      </c>
      <c r="Q3097" t="n">
        <v>60</v>
      </c>
      <c r="R3097" t="n">
        <v>0.05078</v>
      </c>
      <c r="S3097">
        <f>IMAGE("https://mitra.stanford.edu/kundaje/oak/projects/neuro-variants/variant_position/credible/roussos_2024/variant_figures/roussos_2024.adolescence.Astrocyte/rs2905625_count_position.png",4,220,900)</f>
        <v/>
      </c>
      <c r="T3097">
        <f>IMAGE("https://mitra.stanford.edu/kundaje/oak/projects/neuro-variants/variant_position/credible/roussos_2024/variant_figures/roussos_2024.adolescence.Astrocyte/rs2905625_profile_position.png",4,220,900)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-0.00338750112</v>
      </c>
      <c r="G3098" t="n">
        <v>0.5914772022367464</v>
      </c>
      <c r="H3098" t="n">
        <v>0.0108531900801622</v>
      </c>
      <c r="I3098" t="n">
        <v>0.6536977543984341</v>
      </c>
      <c r="J3098" t="n">
        <v>0.0074281221256267</v>
      </c>
      <c r="K3098" t="n">
        <v>0.7064253024405968</v>
      </c>
      <c r="L3098" t="b">
        <v>0</v>
      </c>
      <c r="M3098" t="b">
        <v>0</v>
      </c>
      <c r="N3098" t="inlineStr">
        <is>
          <t>ref</t>
        </is>
      </c>
      <c r="O3098" t="n">
        <v>-80</v>
      </c>
      <c r="P3098" t="n">
        <v>0.003536</v>
      </c>
      <c r="Q3098" t="n">
        <v>85</v>
      </c>
      <c r="R3098" t="n">
        <v>0.03485</v>
      </c>
      <c r="S3098">
        <f>IMAGE("https://mitra.stanford.edu/kundaje/oak/projects/neuro-variants/variant_position/credible/roussos_2024/variant_figures/roussos_2024.adolescence.Astrocyte/rs1875310_count_position.png",4,220,900)</f>
        <v/>
      </c>
      <c r="T3098">
        <f>IMAGE("https://mitra.stanford.edu/kundaje/oak/projects/neuro-variants/variant_position/credible/roussos_2024/variant_figures/roussos_2024.adolescence.Astrocyte/rs1875310_profile_position.png",4,220,900)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-0.08443962269999999</v>
      </c>
      <c r="G3099" t="n">
        <v>0.1492502479189675</v>
      </c>
      <c r="H3099" t="n">
        <v>0.0144885350594167</v>
      </c>
      <c r="I3099" t="n">
        <v>0.3693120673505911</v>
      </c>
      <c r="J3099" t="n">
        <v>0.08805002522030669</v>
      </c>
      <c r="K3099" t="n">
        <v>0.3546340872722697</v>
      </c>
      <c r="L3099" t="b">
        <v>0</v>
      </c>
      <c r="M3099" t="b">
        <v>0</v>
      </c>
      <c r="N3099" t="inlineStr">
        <is>
          <t>ref</t>
        </is>
      </c>
      <c r="O3099" t="n">
        <v>-30</v>
      </c>
      <c r="P3099" t="n">
        <v>0.00842</v>
      </c>
      <c r="Q3099" t="n">
        <v>85</v>
      </c>
      <c r="R3099" t="n">
        <v>0.3315</v>
      </c>
      <c r="S3099">
        <f>IMAGE("https://mitra.stanford.edu/kundaje/oak/projects/neuro-variants/variant_position/credible/roussos_2024/variant_figures/roussos_2024.adolescence.Astrocyte/rs72662364_count_position.png",4,220,900)</f>
        <v/>
      </c>
      <c r="T3099">
        <f>IMAGE("https://mitra.stanford.edu/kundaje/oak/projects/neuro-variants/variant_position/credible/roussos_2024/variant_figures/roussos_2024.adolescence.Astrocyte/rs72662364_profile_position.png",4,220,900)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0.01578559912</v>
      </c>
      <c r="G3100" t="n">
        <v>0.5982097829835477</v>
      </c>
      <c r="H3100" t="n">
        <v>0.0120230583791994</v>
      </c>
      <c r="I3100" t="n">
        <v>0.5461314486466082</v>
      </c>
      <c r="J3100" t="n">
        <v>0.0005956443046612</v>
      </c>
      <c r="K3100" t="n">
        <v>0.9289943027043536</v>
      </c>
      <c r="L3100" t="b">
        <v>0</v>
      </c>
      <c r="M3100" t="b">
        <v>0</v>
      </c>
      <c r="N3100" t="inlineStr">
        <is>
          <t>alt</t>
        </is>
      </c>
      <c r="O3100" t="n">
        <v>-100</v>
      </c>
      <c r="P3100" t="n">
        <v>0.0009356</v>
      </c>
      <c r="Q3100" t="n">
        <v>15</v>
      </c>
      <c r="R3100" t="n">
        <v>0.05164</v>
      </c>
      <c r="S3100">
        <f>IMAGE("https://mitra.stanford.edu/kundaje/oak/projects/neuro-variants/variant_position/credible/roussos_2024/variant_figures/roussos_2024.adolescence.Astrocyte/rs17034785_count_position.png",4,220,900)</f>
        <v/>
      </c>
      <c r="T3100">
        <f>IMAGE("https://mitra.stanford.edu/kundaje/oak/projects/neuro-variants/variant_position/credible/roussos_2024/variant_figures/roussos_2024.adolescence.Astrocyte/rs17034785_profile_position.png",4,220,900)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-0.0204781583999999</v>
      </c>
      <c r="G3101" t="n">
        <v>0.4375347801937838</v>
      </c>
      <c r="H3101" t="n">
        <v>0.0155385241101048</v>
      </c>
      <c r="I3101" t="n">
        <v>0.2945295177289759</v>
      </c>
      <c r="J3101" t="n">
        <v>0.0047710886271251</v>
      </c>
      <c r="K3101" t="n">
        <v>0.7479268982627965</v>
      </c>
      <c r="L3101" t="b">
        <v>0</v>
      </c>
      <c r="M3101" t="b">
        <v>0</v>
      </c>
      <c r="N3101" t="inlineStr">
        <is>
          <t>ref</t>
        </is>
      </c>
      <c r="O3101" t="n">
        <v>-45</v>
      </c>
      <c r="P3101" t="n">
        <v>0.01936</v>
      </c>
      <c r="Q3101" t="n">
        <v>100</v>
      </c>
      <c r="R3101" t="n">
        <v>0.3093</v>
      </c>
      <c r="S3101">
        <f>IMAGE("https://mitra.stanford.edu/kundaje/oak/projects/neuro-variants/variant_position/credible/roussos_2024/variant_figures/roussos_2024.adolescence.Astrocyte/rs6856296_count_position.png",4,220,900)</f>
        <v/>
      </c>
      <c r="T3101">
        <f>IMAGE("https://mitra.stanford.edu/kundaje/oak/projects/neuro-variants/variant_position/credible/roussos_2024/variant_figures/roussos_2024.adolescence.Astrocyte/rs6856296_profile_position.png",4,220,900)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-0.0116844612</v>
      </c>
      <c r="G3102" t="n">
        <v>0.7059993603089737</v>
      </c>
      <c r="H3102" t="n">
        <v>0.0265780255319547</v>
      </c>
      <c r="I3102" t="n">
        <v>0.0500339572567472</v>
      </c>
      <c r="J3102" t="n">
        <v>0.0003886894341749</v>
      </c>
      <c r="K3102" t="n">
        <v>0.9304741660437932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0.02237</v>
      </c>
      <c r="Q3102" t="n">
        <v>65</v>
      </c>
      <c r="R3102" t="n">
        <v>0.08685</v>
      </c>
      <c r="S3102">
        <f>IMAGE("https://mitra.stanford.edu/kundaje/oak/projects/neuro-variants/variant_position/credible/roussos_2024/variant_figures/roussos_2024.adolescence.Astrocyte/rs6855141_count_position.png",4,220,900)</f>
        <v/>
      </c>
      <c r="T3102">
        <f>IMAGE("https://mitra.stanford.edu/kundaje/oak/projects/neuro-variants/variant_position/credible/roussos_2024/variant_figures/roussos_2024.adolescence.Astrocyte/rs6855141_profile_position.png",4,220,900)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0.0259510382</v>
      </c>
      <c r="G3103" t="n">
        <v>0.4525079194690458</v>
      </c>
      <c r="H3103" t="n">
        <v>0.0328035501270205</v>
      </c>
      <c r="I3103" t="n">
        <v>0.0217232373200419</v>
      </c>
      <c r="J3103" t="n">
        <v>0.0024879090882117</v>
      </c>
      <c r="K3103" t="n">
        <v>0.8010245424758817</v>
      </c>
      <c r="L3103" t="b">
        <v>0</v>
      </c>
      <c r="M3103" t="b">
        <v>0</v>
      </c>
      <c r="N3103" t="inlineStr">
        <is>
          <t>alt</t>
        </is>
      </c>
      <c r="O3103" t="n">
        <v>-70</v>
      </c>
      <c r="P3103" t="n">
        <v>0.002167</v>
      </c>
      <c r="Q3103" t="n">
        <v>-30</v>
      </c>
      <c r="R3103" t="n">
        <v>0.05664</v>
      </c>
      <c r="S3103">
        <f>IMAGE("https://mitra.stanford.edu/kundaje/oak/projects/neuro-variants/variant_position/credible/roussos_2024/variant_figures/roussos_2024.adolescence.Astrocyte/rs7655540_count_position.png",4,220,900)</f>
        <v/>
      </c>
      <c r="T3103">
        <f>IMAGE("https://mitra.stanford.edu/kundaje/oak/projects/neuro-variants/variant_position/credible/roussos_2024/variant_figures/roussos_2024.adolescence.Astrocyte/rs7655540_profile_position.png",4,220,900)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0.0066548827</v>
      </c>
      <c r="G3104" t="n">
        <v>0.5465415274031339</v>
      </c>
      <c r="H3104" t="n">
        <v>0.008983604733846001</v>
      </c>
      <c r="I3104" t="n">
        <v>0.8588470938560839</v>
      </c>
      <c r="J3104" t="n">
        <v>0.0009554045633918999</v>
      </c>
      <c r="K3104" t="n">
        <v>0.8750215163445176</v>
      </c>
      <c r="L3104" t="b">
        <v>0</v>
      </c>
      <c r="M3104" t="b">
        <v>0</v>
      </c>
      <c r="N3104" t="inlineStr">
        <is>
          <t>alt</t>
        </is>
      </c>
      <c r="O3104" t="n">
        <v>-100</v>
      </c>
      <c r="P3104" t="n">
        <v>0.00903</v>
      </c>
      <c r="Q3104" t="n">
        <v>-45</v>
      </c>
      <c r="R3104" t="n">
        <v>0.05988</v>
      </c>
      <c r="S3104">
        <f>IMAGE("https://mitra.stanford.edu/kundaje/oak/projects/neuro-variants/variant_position/credible/roussos_2024/variant_figures/roussos_2024.adolescence.Astrocyte/rs9990663_count_position.png",4,220,900)</f>
        <v/>
      </c>
      <c r="T3104">
        <f>IMAGE("https://mitra.stanford.edu/kundaje/oak/projects/neuro-variants/variant_position/credible/roussos_2024/variant_figures/roussos_2024.adolescence.Astrocyte/rs9990663_profile_position.png",4,220,900)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-0.235560935</v>
      </c>
      <c r="G3105" t="n">
        <v>0.0153634575398654</v>
      </c>
      <c r="H3105" t="n">
        <v>0.0240397073865094</v>
      </c>
      <c r="I3105" t="n">
        <v>0.0752623815807556</v>
      </c>
      <c r="J3105" t="n">
        <v>0.0207889505385276</v>
      </c>
      <c r="K3105" t="n">
        <v>0.5806998177687922</v>
      </c>
      <c r="L3105" t="b">
        <v>1</v>
      </c>
      <c r="M3105" t="b">
        <v>0</v>
      </c>
      <c r="N3105" t="inlineStr">
        <is>
          <t>ref</t>
        </is>
      </c>
      <c r="O3105" t="n">
        <v>40</v>
      </c>
      <c r="P3105" t="n">
        <v>0.005234</v>
      </c>
      <c r="Q3105" t="n">
        <v>40</v>
      </c>
      <c r="R3105" t="n">
        <v>0.07715</v>
      </c>
      <c r="S3105">
        <f>IMAGE("https://mitra.stanford.edu/kundaje/oak/projects/neuro-variants/variant_position/credible/roussos_2024/variant_figures/roussos_2024.adolescence.Astrocyte/rs2012723_count_position.png",4,220,900)</f>
        <v/>
      </c>
      <c r="T3105">
        <f>IMAGE("https://mitra.stanford.edu/kundaje/oak/projects/neuro-variants/variant_position/credible/roussos_2024/variant_figures/roussos_2024.adolescence.Astrocyte/rs2012723_profile_position.png",4,220,900)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0.00274248256</v>
      </c>
      <c r="G3106" t="n">
        <v>0.6590208707608488</v>
      </c>
      <c r="H3106" t="n">
        <v>0.0106156656980793</v>
      </c>
      <c r="I3106" t="n">
        <v>0.6891927172737193</v>
      </c>
      <c r="J3106" t="n">
        <v>0.0023937038245852</v>
      </c>
      <c r="K3106" t="n">
        <v>0.8195793927191739</v>
      </c>
      <c r="L3106" t="b">
        <v>0</v>
      </c>
      <c r="M3106" t="b">
        <v>0</v>
      </c>
      <c r="N3106" t="inlineStr">
        <is>
          <t>alt</t>
        </is>
      </c>
      <c r="O3106" t="n">
        <v>35</v>
      </c>
      <c r="P3106" t="n">
        <v>0.002377</v>
      </c>
      <c r="Q3106" t="n">
        <v>100</v>
      </c>
      <c r="R3106" t="n">
        <v>0.0698</v>
      </c>
      <c r="S3106">
        <f>IMAGE("https://mitra.stanford.edu/kundaje/oak/projects/neuro-variants/variant_position/credible/roussos_2024/variant_figures/roussos_2024.adolescence.Astrocyte/rs4600992_count_position.png",4,220,900)</f>
        <v/>
      </c>
      <c r="T3106">
        <f>IMAGE("https://mitra.stanford.edu/kundaje/oak/projects/neuro-variants/variant_position/credible/roussos_2024/variant_figures/roussos_2024.adolescence.Astrocyte/rs4600992_profile_position.png",4,220,900)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0.0759500546</v>
      </c>
      <c r="G3107" t="n">
        <v>0.1362684581103015</v>
      </c>
      <c r="H3107" t="n">
        <v>0.0202308029930553</v>
      </c>
      <c r="I3107" t="n">
        <v>0.1331703752085081</v>
      </c>
      <c r="J3107" t="n">
        <v>0.0017780316292317</v>
      </c>
      <c r="K3107" t="n">
        <v>0.8398429807267893</v>
      </c>
      <c r="L3107" t="b">
        <v>0</v>
      </c>
      <c r="M3107" t="b">
        <v>0</v>
      </c>
      <c r="N3107" t="inlineStr">
        <is>
          <t>alt</t>
        </is>
      </c>
      <c r="O3107" t="n">
        <v>95</v>
      </c>
      <c r="P3107" t="n">
        <v>0.002579</v>
      </c>
      <c r="Q3107" t="n">
        <v>70</v>
      </c>
      <c r="R3107" t="n">
        <v>0.185</v>
      </c>
      <c r="S3107">
        <f>IMAGE("https://mitra.stanford.edu/kundaje/oak/projects/neuro-variants/variant_position/credible/roussos_2024/variant_figures/roussos_2024.adolescence.Astrocyte/rs2169057_count_position.png",4,220,900)</f>
        <v/>
      </c>
      <c r="T3107">
        <f>IMAGE("https://mitra.stanford.edu/kundaje/oak/projects/neuro-variants/variant_position/credible/roussos_2024/variant_figures/roussos_2024.adolescence.Astrocyte/rs2169057_profile_position.png",4,220,900)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0.082382948</v>
      </c>
      <c r="G3108" t="n">
        <v>0.1358140656482156</v>
      </c>
      <c r="H3108" t="n">
        <v>0.0144027604504377</v>
      </c>
      <c r="I3108" t="n">
        <v>0.36325045771229</v>
      </c>
      <c r="J3108" t="n">
        <v>0.0567805536599115</v>
      </c>
      <c r="K3108" t="n">
        <v>0.4226947517822053</v>
      </c>
      <c r="L3108" t="b">
        <v>0</v>
      </c>
      <c r="M3108" t="b">
        <v>0</v>
      </c>
      <c r="N3108" t="inlineStr">
        <is>
          <t>alt</t>
        </is>
      </c>
      <c r="O3108" t="n">
        <v>-65</v>
      </c>
      <c r="P3108" t="n">
        <v>0.005478</v>
      </c>
      <c r="Q3108" t="n">
        <v>-30</v>
      </c>
      <c r="R3108" t="n">
        <v>0.0867</v>
      </c>
      <c r="S3108">
        <f>IMAGE("https://mitra.stanford.edu/kundaje/oak/projects/neuro-variants/variant_position/credible/roussos_2024/variant_figures/roussos_2024.adolescence.Astrocyte/rs1540575_count_position.png",4,220,900)</f>
        <v/>
      </c>
      <c r="T3108">
        <f>IMAGE("https://mitra.stanford.edu/kundaje/oak/projects/neuro-variants/variant_position/credible/roussos_2024/variant_figures/roussos_2024.adolescence.Astrocyte/rs1540575_profile_position.png",4,220,900)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-0.0018423117199999</v>
      </c>
      <c r="G3109" t="n">
        <v>0.7799427994052104</v>
      </c>
      <c r="H3109" t="n">
        <v>0.0183068707539652</v>
      </c>
      <c r="I3109" t="n">
        <v>0.1807460086143223</v>
      </c>
      <c r="J3109" t="n">
        <v>0.0089405987597543</v>
      </c>
      <c r="K3109" t="n">
        <v>0.6797905159287932</v>
      </c>
      <c r="L3109" t="b">
        <v>0</v>
      </c>
      <c r="M3109" t="b">
        <v>0</v>
      </c>
      <c r="N3109" t="inlineStr">
        <is>
          <t>ref</t>
        </is>
      </c>
      <c r="O3109" t="n">
        <v>-65</v>
      </c>
      <c r="P3109" t="n">
        <v>0.02046</v>
      </c>
      <c r="Q3109" t="n">
        <v>75</v>
      </c>
      <c r="R3109" t="n">
        <v>0.268</v>
      </c>
      <c r="S3109">
        <f>IMAGE("https://mitra.stanford.edu/kundaje/oak/projects/neuro-variants/variant_position/credible/roussos_2024/variant_figures/roussos_2024.adolescence.Astrocyte/rs6857739_count_position.png",4,220,900)</f>
        <v/>
      </c>
      <c r="T3109">
        <f>IMAGE("https://mitra.stanford.edu/kundaje/oak/projects/neuro-variants/variant_position/credible/roussos_2024/variant_figures/roussos_2024.adolescence.Astrocyte/rs6857739_profile_position.png",4,220,900)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0.0444268654</v>
      </c>
      <c r="G3110" t="n">
        <v>0.2285545243397435</v>
      </c>
      <c r="H3110" t="n">
        <v>0.0256836346966255</v>
      </c>
      <c r="I3110" t="n">
        <v>0.0572306768840397</v>
      </c>
      <c r="J3110" t="n">
        <v>0.0157300537044179</v>
      </c>
      <c r="K3110" t="n">
        <v>0.6102633795224663</v>
      </c>
      <c r="L3110" t="b">
        <v>0</v>
      </c>
      <c r="M3110" t="b">
        <v>0</v>
      </c>
      <c r="N3110" t="inlineStr">
        <is>
          <t>alt</t>
        </is>
      </c>
      <c r="O3110" t="n">
        <v>90</v>
      </c>
      <c r="P3110" t="n">
        <v>0.01306</v>
      </c>
      <c r="Q3110" t="n">
        <v>-100</v>
      </c>
      <c r="R3110" t="n">
        <v>0.1624</v>
      </c>
      <c r="S3110">
        <f>IMAGE("https://mitra.stanford.edu/kundaje/oak/projects/neuro-variants/variant_position/credible/roussos_2024/variant_figures/roussos_2024.adolescence.Astrocyte/rs1350618_count_position.png",4,220,900)</f>
        <v/>
      </c>
      <c r="T3110">
        <f>IMAGE("https://mitra.stanford.edu/kundaje/oak/projects/neuro-variants/variant_position/credible/roussos_2024/variant_figures/roussos_2024.adolescence.Astrocyte/rs1350618_profile_position.png",4,220,900)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0.0932180302</v>
      </c>
      <c r="G3111" t="n">
        <v>0.08892395862029159</v>
      </c>
      <c r="H3111" t="n">
        <v>0.08784413793764791</v>
      </c>
      <c r="I3111" t="n">
        <v>0.0005828835600769</v>
      </c>
      <c r="J3111" t="n">
        <v>0.4084577040619529</v>
      </c>
      <c r="K3111" t="n">
        <v>0.08547329478053881</v>
      </c>
      <c r="L3111" t="b">
        <v>1</v>
      </c>
      <c r="M3111" t="b">
        <v>1</v>
      </c>
      <c r="N3111" t="inlineStr">
        <is>
          <t>alt</t>
        </is>
      </c>
      <c r="O3111" t="n">
        <v>-55</v>
      </c>
      <c r="P3111" t="n">
        <v>0.0094</v>
      </c>
      <c r="Q3111" t="n">
        <v>95</v>
      </c>
      <c r="R3111" t="n">
        <v>0.0591</v>
      </c>
      <c r="S3111">
        <f>IMAGE("https://mitra.stanford.edu/kundaje/oak/projects/neuro-variants/variant_position/credible/roussos_2024/variant_figures/roussos_2024.adolescence.Astrocyte/rs1459538_count_position.png",4,220,900)</f>
        <v/>
      </c>
      <c r="T3111">
        <f>IMAGE("https://mitra.stanford.edu/kundaje/oak/projects/neuro-variants/variant_position/credible/roussos_2024/variant_figures/roussos_2024.adolescence.Astrocyte/rs1459538_profile_position.png",4,220,900)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-0.04771918408</v>
      </c>
      <c r="G3112" t="n">
        <v>0.2886838222941738</v>
      </c>
      <c r="H3112" t="n">
        <v>0.0181005080726272</v>
      </c>
      <c r="I3112" t="n">
        <v>0.1883532706457222</v>
      </c>
      <c r="J3112" t="n">
        <v>0.6563651603714803</v>
      </c>
      <c r="K3112" t="n">
        <v>0.0245315984181429</v>
      </c>
      <c r="L3112" t="b">
        <v>0</v>
      </c>
      <c r="M3112" t="b">
        <v>0</v>
      </c>
      <c r="N3112" t="inlineStr">
        <is>
          <t>ref</t>
        </is>
      </c>
      <c r="O3112" t="n">
        <v>-95</v>
      </c>
      <c r="P3112" t="n">
        <v>0.004883</v>
      </c>
      <c r="Q3112" t="n">
        <v>35</v>
      </c>
      <c r="R3112" t="n">
        <v>0.0547</v>
      </c>
      <c r="S3112">
        <f>IMAGE("https://mitra.stanford.edu/kundaje/oak/projects/neuro-variants/variant_position/credible/roussos_2024/variant_figures/roussos_2024.adolescence.Astrocyte/rs10011404_count_position.png",4,220,900)</f>
        <v/>
      </c>
      <c r="T3112">
        <f>IMAGE("https://mitra.stanford.edu/kundaje/oak/projects/neuro-variants/variant_position/credible/roussos_2024/variant_figures/roussos_2024.adolescence.Astrocyte/rs10011404_profile_position.png",4,220,900)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0.1065066898</v>
      </c>
      <c r="G3113" t="n">
        <v>0.0686261305336312</v>
      </c>
      <c r="H3113" t="n">
        <v>0.0155739895862482</v>
      </c>
      <c r="I3113" t="n">
        <v>0.2946398375674521</v>
      </c>
      <c r="J3113" t="n">
        <v>0.6947497255437201</v>
      </c>
      <c r="K3113" t="n">
        <v>0.0192471631223719</v>
      </c>
      <c r="L3113" t="b">
        <v>0</v>
      </c>
      <c r="M3113" t="b">
        <v>0</v>
      </c>
      <c r="N3113" t="inlineStr">
        <is>
          <t>alt</t>
        </is>
      </c>
      <c r="O3113" t="n">
        <v>-100</v>
      </c>
      <c r="P3113" t="n">
        <v>0.02766</v>
      </c>
      <c r="Q3113" t="n">
        <v>-100</v>
      </c>
      <c r="R3113" t="n">
        <v>0.1667</v>
      </c>
      <c r="S3113">
        <f>IMAGE("https://mitra.stanford.edu/kundaje/oak/projects/neuro-variants/variant_position/credible/roussos_2024/variant_figures/roussos_2024.adolescence.Astrocyte/rs17867553_count_position.png",4,220,900)</f>
        <v/>
      </c>
      <c r="T3113">
        <f>IMAGE("https://mitra.stanford.edu/kundaje/oak/projects/neuro-variants/variant_position/credible/roussos_2024/variant_figures/roussos_2024.adolescence.Astrocyte/rs17867553_profile_position.png",4,220,900)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-0.145088205</v>
      </c>
      <c r="G3114" t="n">
        <v>0.0391940910726485</v>
      </c>
      <c r="H3114" t="n">
        <v>0.0182054257065394</v>
      </c>
      <c r="I3114" t="n">
        <v>0.1830475579195259</v>
      </c>
      <c r="J3114" t="n">
        <v>0.4794677031718245</v>
      </c>
      <c r="K3114" t="n">
        <v>0.0596425174004405</v>
      </c>
      <c r="L3114" t="b">
        <v>0</v>
      </c>
      <c r="M3114" t="b">
        <v>0</v>
      </c>
      <c r="N3114" t="inlineStr">
        <is>
          <t>ref</t>
        </is>
      </c>
      <c r="O3114" t="n">
        <v>15</v>
      </c>
      <c r="P3114" t="n">
        <v>0.00319</v>
      </c>
      <c r="Q3114" t="n">
        <v>-45</v>
      </c>
      <c r="R3114" t="n">
        <v>0.1157</v>
      </c>
      <c r="S3114">
        <f>IMAGE("https://mitra.stanford.edu/kundaje/oak/projects/neuro-variants/variant_position/credible/roussos_2024/variant_figures/roussos_2024.adolescence.Astrocyte/rs1459540_count_position.png",4,220,900)</f>
        <v/>
      </c>
      <c r="T3114">
        <f>IMAGE("https://mitra.stanford.edu/kundaje/oak/projects/neuro-variants/variant_position/credible/roussos_2024/variant_figures/roussos_2024.adolescence.Astrocyte/rs1459540_profile_position.png",4,220,900)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0.0178295169</v>
      </c>
      <c r="G3115" t="n">
        <v>0.5341122963530333</v>
      </c>
      <c r="H3115" t="n">
        <v>0.0363479077692318</v>
      </c>
      <c r="I3115" t="n">
        <v>0.0141512501849614</v>
      </c>
      <c r="J3115" t="n">
        <v>0.000606029136872</v>
      </c>
      <c r="K3115" t="n">
        <v>0.9186141465879656</v>
      </c>
      <c r="L3115" t="b">
        <v>0</v>
      </c>
      <c r="M3115" t="b">
        <v>0</v>
      </c>
      <c r="N3115" t="inlineStr">
        <is>
          <t>alt</t>
        </is>
      </c>
      <c r="O3115" t="n">
        <v>60</v>
      </c>
      <c r="P3115" t="n">
        <v>0.008545000000000001</v>
      </c>
      <c r="Q3115" t="n">
        <v>-15</v>
      </c>
      <c r="R3115" t="n">
        <v>0.1057</v>
      </c>
      <c r="S3115">
        <f>IMAGE("https://mitra.stanford.edu/kundaje/oak/projects/neuro-variants/variant_position/credible/roussos_2024/variant_figures/roussos_2024.adolescence.Astrocyte/rs17861256_count_position.png",4,220,900)</f>
        <v/>
      </c>
      <c r="T3115">
        <f>IMAGE("https://mitra.stanford.edu/kundaje/oak/projects/neuro-variants/variant_position/credible/roussos_2024/variant_figures/roussos_2024.adolescence.Astrocyte/rs17861256_profile_position.png",4,220,900)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-0.0035792804799999</v>
      </c>
      <c r="G3116" t="n">
        <v>0.8889664972061672</v>
      </c>
      <c r="H3116" t="n">
        <v>0.0189851515518157</v>
      </c>
      <c r="I3116" t="n">
        <v>0.1637502560221386</v>
      </c>
      <c r="J3116" t="n">
        <v>0.0360776488739874</v>
      </c>
      <c r="K3116" t="n">
        <v>0.4877497790200829</v>
      </c>
      <c r="L3116" t="b">
        <v>0</v>
      </c>
      <c r="M3116" t="b">
        <v>0</v>
      </c>
      <c r="N3116" t="inlineStr">
        <is>
          <t>ref</t>
        </is>
      </c>
      <c r="O3116" t="n">
        <v>-100</v>
      </c>
      <c r="P3116" t="n">
        <v>0.005173</v>
      </c>
      <c r="Q3116" t="n">
        <v>-45</v>
      </c>
      <c r="R3116" t="n">
        <v>0.1565</v>
      </c>
      <c r="S3116">
        <f>IMAGE("https://mitra.stanford.edu/kundaje/oak/projects/neuro-variants/variant_position/credible/roussos_2024/variant_figures/roussos_2024.adolescence.Astrocyte/rs1350616_count_position.png",4,220,900)</f>
        <v/>
      </c>
      <c r="T3116">
        <f>IMAGE("https://mitra.stanford.edu/kundaje/oak/projects/neuro-variants/variant_position/credible/roussos_2024/variant_figures/roussos_2024.adolescence.Astrocyte/rs1350616_profile_position.png",4,220,900)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-0.02039132044</v>
      </c>
      <c r="G3117" t="n">
        <v>0.5629635535136016</v>
      </c>
      <c r="H3117" t="n">
        <v>0.0239401795001399</v>
      </c>
      <c r="I3117" t="n">
        <v>0.0764921561968261</v>
      </c>
      <c r="J3117" t="n">
        <v>0.002638489155268</v>
      </c>
      <c r="K3117" t="n">
        <v>0.818882253992904</v>
      </c>
      <c r="L3117" t="b">
        <v>0</v>
      </c>
      <c r="M3117" t="b">
        <v>0</v>
      </c>
      <c r="N3117" t="inlineStr">
        <is>
          <t>ref</t>
        </is>
      </c>
      <c r="O3117" t="n">
        <v>60</v>
      </c>
      <c r="P3117" t="n">
        <v>0.001526</v>
      </c>
      <c r="Q3117" t="n">
        <v>-95</v>
      </c>
      <c r="R3117" t="n">
        <v>0.1249</v>
      </c>
      <c r="S3117">
        <f>IMAGE("https://mitra.stanford.edu/kundaje/oak/projects/neuro-variants/variant_position/credible/roussos_2024/variant_figures/roussos_2024.adolescence.Astrocyte/rs4295331_count_position.png",4,220,900)</f>
        <v/>
      </c>
      <c r="T3117">
        <f>IMAGE("https://mitra.stanford.edu/kundaje/oak/projects/neuro-variants/variant_position/credible/roussos_2024/variant_figures/roussos_2024.adolescence.Astrocyte/rs4295331_profile_position.png",4,220,900)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-0.00055123936</v>
      </c>
      <c r="G3118" t="n">
        <v>0.7862393208811431</v>
      </c>
      <c r="H3118" t="n">
        <v>0.0305098534105064</v>
      </c>
      <c r="I3118" t="n">
        <v>0.029164830503623</v>
      </c>
      <c r="J3118" t="n">
        <v>0.0014026941221849</v>
      </c>
      <c r="K3118" t="n">
        <v>0.8602006328165249</v>
      </c>
      <c r="L3118" t="b">
        <v>0</v>
      </c>
      <c r="M3118" t="b">
        <v>0</v>
      </c>
      <c r="N3118" t="inlineStr">
        <is>
          <t>ref</t>
        </is>
      </c>
      <c r="O3118" t="n">
        <v>-100</v>
      </c>
      <c r="P3118" t="n">
        <v>0.006195</v>
      </c>
      <c r="Q3118" t="n">
        <v>65</v>
      </c>
      <c r="R3118" t="n">
        <v>0.0891</v>
      </c>
      <c r="S3118">
        <f>IMAGE("https://mitra.stanford.edu/kundaje/oak/projects/neuro-variants/variant_position/credible/roussos_2024/variant_figures/roussos_2024.adolescence.Astrocyte/rs1380370_count_position.png",4,220,900)</f>
        <v/>
      </c>
      <c r="T3118">
        <f>IMAGE("https://mitra.stanford.edu/kundaje/oak/projects/neuro-variants/variant_position/credible/roussos_2024/variant_figures/roussos_2024.adolescence.Astrocyte/rs1380370_profile_position.png",4,220,900)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-0.0697900842</v>
      </c>
      <c r="G3119" t="n">
        <v>0.156268006790142</v>
      </c>
      <c r="H3119" t="n">
        <v>0.0161081882610338</v>
      </c>
      <c r="I3119" t="n">
        <v>0.2649156693905048</v>
      </c>
      <c r="J3119" t="n">
        <v>0.0146492893807672</v>
      </c>
      <c r="K3119" t="n">
        <v>0.6209174901547556</v>
      </c>
      <c r="L3119" t="b">
        <v>0</v>
      </c>
      <c r="M3119" t="b">
        <v>0</v>
      </c>
      <c r="N3119" t="inlineStr">
        <is>
          <t>ref</t>
        </is>
      </c>
      <c r="O3119" t="n">
        <v>10</v>
      </c>
      <c r="P3119" t="n">
        <v>0.000519</v>
      </c>
      <c r="Q3119" t="n">
        <v>20</v>
      </c>
      <c r="R3119" t="n">
        <v>0.052</v>
      </c>
      <c r="S3119">
        <f>IMAGE("https://mitra.stanford.edu/kundaje/oak/projects/neuro-variants/variant_position/credible/roussos_2024/variant_figures/roussos_2024.adolescence.Astrocyte/rs4516794_count_position.png",4,220,900)</f>
        <v/>
      </c>
      <c r="T3119">
        <f>IMAGE("https://mitra.stanford.edu/kundaje/oak/projects/neuro-variants/variant_position/credible/roussos_2024/variant_figures/roussos_2024.adolescence.Astrocyte/rs4516794_profile_position.png",4,220,900)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0.01225603</v>
      </c>
      <c r="G3120" t="n">
        <v>0.6847922670155829</v>
      </c>
      <c r="H3120" t="n">
        <v>0.0094026297919786</v>
      </c>
      <c r="I3120" t="n">
        <v>0.8149892271167057</v>
      </c>
      <c r="J3120" t="n">
        <v>0.0615130700531109</v>
      </c>
      <c r="K3120" t="n">
        <v>0.4030860309493961</v>
      </c>
      <c r="L3120" t="b">
        <v>0</v>
      </c>
      <c r="M3120" t="b">
        <v>0</v>
      </c>
      <c r="N3120" t="inlineStr">
        <is>
          <t>alt</t>
        </is>
      </c>
      <c r="O3120" t="n">
        <v>40</v>
      </c>
      <c r="P3120" t="n">
        <v>0.00698</v>
      </c>
      <c r="Q3120" t="n">
        <v>-65</v>
      </c>
      <c r="R3120" t="n">
        <v>0.2318</v>
      </c>
      <c r="S3120">
        <f>IMAGE("https://mitra.stanford.edu/kundaje/oak/projects/neuro-variants/variant_position/credible/roussos_2024/variant_figures/roussos_2024.adolescence.Astrocyte/rs4568305_count_position.png",4,220,900)</f>
        <v/>
      </c>
      <c r="T3120">
        <f>IMAGE("https://mitra.stanford.edu/kundaje/oak/projects/neuro-variants/variant_position/credible/roussos_2024/variant_figures/roussos_2024.adolescence.Astrocyte/rs4568305_profile_position.png",4,220,900)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-0.02104983048</v>
      </c>
      <c r="G3121" t="n">
        <v>0.5110294073221519</v>
      </c>
      <c r="H3121" t="n">
        <v>0.0253423266974945</v>
      </c>
      <c r="I3121" t="n">
        <v>0.0599247367018752</v>
      </c>
      <c r="J3121" t="n">
        <v>0.0003923983028216</v>
      </c>
      <c r="K3121" t="n">
        <v>0.9313562020269084</v>
      </c>
      <c r="L3121" t="b">
        <v>0</v>
      </c>
      <c r="M3121" t="b">
        <v>0</v>
      </c>
      <c r="N3121" t="inlineStr">
        <is>
          <t>ref</t>
        </is>
      </c>
      <c r="O3121" t="n">
        <v>50</v>
      </c>
      <c r="P3121" t="n">
        <v>0.007990000000000001</v>
      </c>
      <c r="Q3121" t="n">
        <v>-90</v>
      </c>
      <c r="R3121" t="n">
        <v>0.05292</v>
      </c>
      <c r="S3121">
        <f>IMAGE("https://mitra.stanford.edu/kundaje/oak/projects/neuro-variants/variant_position/credible/roussos_2024/variant_figures/roussos_2024.adolescence.Astrocyte/rs7661175_count_position.png",4,220,900)</f>
        <v/>
      </c>
      <c r="T3121">
        <f>IMAGE("https://mitra.stanford.edu/kundaje/oak/projects/neuro-variants/variant_position/credible/roussos_2024/variant_figures/roussos_2024.adolescence.Astrocyte/rs7661175_profile_position.png",4,220,900)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-0.1669976768</v>
      </c>
      <c r="G3122" t="n">
        <v>0.0289861204126746</v>
      </c>
      <c r="H3122" t="n">
        <v>0.0198826943904132</v>
      </c>
      <c r="I3122" t="n">
        <v>0.1453784255141202</v>
      </c>
      <c r="J3122" t="n">
        <v>0.0427528706643325</v>
      </c>
      <c r="K3122" t="n">
        <v>0.4602986660104428</v>
      </c>
      <c r="L3122" t="b">
        <v>0</v>
      </c>
      <c r="M3122" t="b">
        <v>0</v>
      </c>
      <c r="N3122" t="inlineStr">
        <is>
          <t>ref</t>
        </is>
      </c>
      <c r="O3122" t="n">
        <v>-15</v>
      </c>
      <c r="P3122" t="n">
        <v>0.00161</v>
      </c>
      <c r="Q3122" t="n">
        <v>-35</v>
      </c>
      <c r="R3122" t="n">
        <v>0.01648</v>
      </c>
      <c r="S3122">
        <f>IMAGE("https://mitra.stanford.edu/kundaje/oak/projects/neuro-variants/variant_position/credible/roussos_2024/variant_figures/roussos_2024.adolescence.Astrocyte/rs1350617_count_position.png",4,220,900)</f>
        <v/>
      </c>
      <c r="T3122">
        <f>IMAGE("https://mitra.stanford.edu/kundaje/oak/projects/neuro-variants/variant_position/credible/roussos_2024/variant_figures/roussos_2024.adolescence.Astrocyte/rs1350617_profile_position.png",4,220,900)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-0.0552195628</v>
      </c>
      <c r="G3123" t="n">
        <v>0.1284976433798004</v>
      </c>
      <c r="H3123" t="n">
        <v>0.0309380890668187</v>
      </c>
      <c r="I3123" t="n">
        <v>0.0280486733113213</v>
      </c>
      <c r="J3123" t="n">
        <v>0.083115004598997</v>
      </c>
      <c r="K3123" t="n">
        <v>0.3511936060542751</v>
      </c>
      <c r="L3123" t="b">
        <v>0</v>
      </c>
      <c r="M3123" t="b">
        <v>0</v>
      </c>
      <c r="N3123" t="inlineStr">
        <is>
          <t>ref</t>
        </is>
      </c>
      <c r="O3123" t="n">
        <v>100</v>
      </c>
      <c r="P3123" t="n">
        <v>0.010925</v>
      </c>
      <c r="Q3123" t="n">
        <v>85</v>
      </c>
      <c r="R3123" t="n">
        <v>0.328</v>
      </c>
      <c r="S3123">
        <f>IMAGE("https://mitra.stanford.edu/kundaje/oak/projects/neuro-variants/variant_position/credible/roussos_2024/variant_figures/roussos_2024.adolescence.Astrocyte/rs17863939_count_position.png",4,220,900)</f>
        <v/>
      </c>
      <c r="T3123">
        <f>IMAGE("https://mitra.stanford.edu/kundaje/oak/projects/neuro-variants/variant_position/credible/roussos_2024/variant_figures/roussos_2024.adolescence.Astrocyte/rs17863939_profile_position.png",4,220,900)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0.0342863652</v>
      </c>
      <c r="G3124" t="n">
        <v>0.1498834900184132</v>
      </c>
      <c r="H3124" t="n">
        <v>0.0160876797802205</v>
      </c>
      <c r="I3124" t="n">
        <v>0.2706527863105659</v>
      </c>
      <c r="J3124" t="n">
        <v>0.1099872414918552</v>
      </c>
      <c r="K3124" t="n">
        <v>0.3065511969341993</v>
      </c>
      <c r="L3124" t="b">
        <v>0</v>
      </c>
      <c r="M3124" t="b">
        <v>0</v>
      </c>
      <c r="N3124" t="inlineStr">
        <is>
          <t>alt</t>
        </is>
      </c>
      <c r="O3124" t="n">
        <v>45</v>
      </c>
      <c r="P3124" t="n">
        <v>0.00461</v>
      </c>
      <c r="Q3124" t="n">
        <v>-65</v>
      </c>
      <c r="R3124" t="n">
        <v>0.0752</v>
      </c>
      <c r="S3124">
        <f>IMAGE("https://mitra.stanford.edu/kundaje/oak/projects/neuro-variants/variant_position/credible/roussos_2024/variant_figures/roussos_2024.adolescence.Astrocyte/rs9995094_count_position.png",4,220,900)</f>
        <v/>
      </c>
      <c r="T3124">
        <f>IMAGE("https://mitra.stanford.edu/kundaje/oak/projects/neuro-variants/variant_position/credible/roussos_2024/variant_figures/roussos_2024.adolescence.Astrocyte/rs9995094_profile_position.png",4,220,900)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-0.0015983476</v>
      </c>
      <c r="G3125" t="n">
        <v>0.8168530435697346</v>
      </c>
      <c r="H3125" t="n">
        <v>0.010270815783056</v>
      </c>
      <c r="I3125" t="n">
        <v>0.7363102933772407</v>
      </c>
      <c r="J3125" t="n">
        <v>0.0025643117823338</v>
      </c>
      <c r="K3125" t="n">
        <v>0.8029902149873103</v>
      </c>
      <c r="L3125" t="b">
        <v>0</v>
      </c>
      <c r="M3125" t="b">
        <v>0</v>
      </c>
      <c r="N3125" t="inlineStr">
        <is>
          <t>ref</t>
        </is>
      </c>
      <c r="O3125" t="n">
        <v>-35</v>
      </c>
      <c r="P3125" t="n">
        <v>0.005985</v>
      </c>
      <c r="Q3125" t="n">
        <v>100</v>
      </c>
      <c r="R3125" t="n">
        <v>0.1489</v>
      </c>
      <c r="S3125">
        <f>IMAGE("https://mitra.stanford.edu/kundaje/oak/projects/neuro-variants/variant_position/credible/roussos_2024/variant_figures/roussos_2024.adolescence.Astrocyte/rs17865121_count_position.png",4,220,900)</f>
        <v/>
      </c>
      <c r="T3125">
        <f>IMAGE("https://mitra.stanford.edu/kundaje/oak/projects/neuro-variants/variant_position/credible/roussos_2024/variant_figures/roussos_2024.adolescence.Astrocyte/rs17865121_profile_position.png",4,220,900)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0.0992772742</v>
      </c>
      <c r="G3126" t="n">
        <v>0.08182331647279149</v>
      </c>
      <c r="H3126" t="n">
        <v>0.0160429637882626</v>
      </c>
      <c r="I3126" t="n">
        <v>0.2720124156544296</v>
      </c>
      <c r="J3126" t="n">
        <v>0.0237886834999851</v>
      </c>
      <c r="K3126" t="n">
        <v>0.5497379059011223</v>
      </c>
      <c r="L3126" t="b">
        <v>0</v>
      </c>
      <c r="M3126" t="b">
        <v>0</v>
      </c>
      <c r="N3126" t="inlineStr">
        <is>
          <t>alt</t>
        </is>
      </c>
      <c r="O3126" t="n">
        <v>15</v>
      </c>
      <c r="P3126" t="n">
        <v>0.01325</v>
      </c>
      <c r="Q3126" t="n">
        <v>-50</v>
      </c>
      <c r="R3126" t="n">
        <v>0.09717000000000001</v>
      </c>
      <c r="S3126">
        <f>IMAGE("https://mitra.stanford.edu/kundaje/oak/projects/neuro-variants/variant_position/credible/roussos_2024/variant_figures/roussos_2024.adolescence.Astrocyte/rs6824201_count_position.png",4,220,900)</f>
        <v/>
      </c>
      <c r="T3126">
        <f>IMAGE("https://mitra.stanford.edu/kundaje/oak/projects/neuro-variants/variant_position/credible/roussos_2024/variant_figures/roussos_2024.adolescence.Astrocyte/rs6824201_profile_position.png",4,220,900)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-0.0186089545999999</v>
      </c>
      <c r="G3127" t="n">
        <v>0.448856793800664</v>
      </c>
      <c r="H3127" t="n">
        <v>0.0185997433176884</v>
      </c>
      <c r="I3127" t="n">
        <v>0.1733026202844679</v>
      </c>
      <c r="J3127" t="n">
        <v>0.0165215262736254</v>
      </c>
      <c r="K3127" t="n">
        <v>0.6155600391730045</v>
      </c>
      <c r="L3127" t="b">
        <v>0</v>
      </c>
      <c r="M3127" t="b">
        <v>0</v>
      </c>
      <c r="N3127" t="inlineStr">
        <is>
          <t>ref</t>
        </is>
      </c>
      <c r="O3127" t="n">
        <v>-90</v>
      </c>
      <c r="P3127" t="n">
        <v>0.0299</v>
      </c>
      <c r="Q3127" t="n">
        <v>-40</v>
      </c>
      <c r="R3127" t="n">
        <v>0.0348</v>
      </c>
      <c r="S3127">
        <f>IMAGE("https://mitra.stanford.edu/kundaje/oak/projects/neuro-variants/variant_position/credible/roussos_2024/variant_figures/roussos_2024.adolescence.Astrocyte/rs1459530_count_position.png",4,220,900)</f>
        <v/>
      </c>
      <c r="T3127">
        <f>IMAGE("https://mitra.stanford.edu/kundaje/oak/projects/neuro-variants/variant_position/credible/roussos_2024/variant_figures/roussos_2024.adolescence.Astrocyte/rs1459530_profile_position.png",4,220,900)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0.105843051134</v>
      </c>
      <c r="G3128" t="n">
        <v>0.1093254680988791</v>
      </c>
      <c r="H3128" t="n">
        <v>0.0230143559324501</v>
      </c>
      <c r="I3128" t="n">
        <v>0.0864024273895922</v>
      </c>
      <c r="J3128" t="n">
        <v>0.0583123164110019</v>
      </c>
      <c r="K3128" t="n">
        <v>0.428868371342078</v>
      </c>
      <c r="L3128" t="b">
        <v>0</v>
      </c>
      <c r="M3128" t="b">
        <v>0</v>
      </c>
      <c r="N3128" t="inlineStr">
        <is>
          <t>alt</t>
        </is>
      </c>
      <c r="O3128" t="n">
        <v>25</v>
      </c>
      <c r="P3128" t="n">
        <v>0.001614</v>
      </c>
      <c r="Q3128" t="n">
        <v>-95</v>
      </c>
      <c r="R3128" t="n">
        <v>0.11926</v>
      </c>
      <c r="S3128">
        <f>IMAGE("https://mitra.stanford.edu/kundaje/oak/projects/neuro-variants/variant_position/credible/roussos_2024/variant_figures/roussos_2024.adolescence.Astrocyte/rs4834639_count_position.png",4,220,900)</f>
        <v/>
      </c>
      <c r="T3128">
        <f>IMAGE("https://mitra.stanford.edu/kundaje/oak/projects/neuro-variants/variant_position/credible/roussos_2024/variant_figures/roussos_2024.adolescence.Astrocyte/rs4834639_profile_position.png",4,220,900)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0.00183099036</v>
      </c>
      <c r="G3129" t="n">
        <v>0.7640902601878879</v>
      </c>
      <c r="H3129" t="n">
        <v>0.0387540688845399</v>
      </c>
      <c r="I3129" t="n">
        <v>0.0110470612255303</v>
      </c>
      <c r="J3129" t="n">
        <v>0.0005830341512624</v>
      </c>
      <c r="K3129" t="n">
        <v>0.9016490199816242</v>
      </c>
      <c r="L3129" t="b">
        <v>0</v>
      </c>
      <c r="M3129" t="b">
        <v>0</v>
      </c>
      <c r="N3129" t="inlineStr">
        <is>
          <t>alt</t>
        </is>
      </c>
      <c r="O3129" t="n">
        <v>85</v>
      </c>
      <c r="P3129" t="n">
        <v>0.00537</v>
      </c>
      <c r="Q3129" t="n">
        <v>-100</v>
      </c>
      <c r="R3129" t="n">
        <v>0.0723</v>
      </c>
      <c r="S3129">
        <f>IMAGE("https://mitra.stanford.edu/kundaje/oak/projects/neuro-variants/variant_position/credible/roussos_2024/variant_figures/roussos_2024.adolescence.Astrocyte/rs4377658_count_position.png",4,220,900)</f>
        <v/>
      </c>
      <c r="T3129">
        <f>IMAGE("https://mitra.stanford.edu/kundaje/oak/projects/neuro-variants/variant_position/credible/roussos_2024/variant_figures/roussos_2024.adolescence.Astrocyte/rs4377658_profile_position.png",4,220,900)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0.0739478682</v>
      </c>
      <c r="G3130" t="n">
        <v>0.1661594220236412</v>
      </c>
      <c r="H3130" t="n">
        <v>0.0159915717136577</v>
      </c>
      <c r="I3130" t="n">
        <v>0.2776586597780599</v>
      </c>
      <c r="J3130" t="n">
        <v>0.0077040619529418</v>
      </c>
      <c r="K3130" t="n">
        <v>0.7052592558770613</v>
      </c>
      <c r="L3130" t="b">
        <v>0</v>
      </c>
      <c r="M3130" t="b">
        <v>0</v>
      </c>
      <c r="N3130" t="inlineStr">
        <is>
          <t>alt</t>
        </is>
      </c>
      <c r="O3130" t="n">
        <v>-50</v>
      </c>
      <c r="P3130" t="n">
        <v>0.002209</v>
      </c>
      <c r="Q3130" t="n">
        <v>-25</v>
      </c>
      <c r="R3130" t="n">
        <v>0.03888</v>
      </c>
      <c r="S3130">
        <f>IMAGE("https://mitra.stanford.edu/kundaje/oak/projects/neuro-variants/variant_position/credible/roussos_2024/variant_figures/roussos_2024.adolescence.Astrocyte/rs7680858_count_position.png",4,220,900)</f>
        <v/>
      </c>
      <c r="T3130">
        <f>IMAGE("https://mitra.stanford.edu/kundaje/oak/projects/neuro-variants/variant_position/credible/roussos_2024/variant_figures/roussos_2024.adolescence.Astrocyte/rs7680858_profile_position.png",4,220,900)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0.0820929713999999</v>
      </c>
      <c r="G3131" t="n">
        <v>0.1474865704483942</v>
      </c>
      <c r="H3131" t="n">
        <v>0.0146396921832155</v>
      </c>
      <c r="I3131" t="n">
        <v>0.3323324002148223</v>
      </c>
      <c r="J3131" t="n">
        <v>0.0431971931282081</v>
      </c>
      <c r="K3131" t="n">
        <v>0.4571531918345625</v>
      </c>
      <c r="L3131" t="b">
        <v>0</v>
      </c>
      <c r="M3131" t="b">
        <v>0</v>
      </c>
      <c r="N3131" t="inlineStr">
        <is>
          <t>alt</t>
        </is>
      </c>
      <c r="O3131" t="n">
        <v>-55</v>
      </c>
      <c r="P3131" t="n">
        <v>0.0048</v>
      </c>
      <c r="Q3131" t="n">
        <v>20</v>
      </c>
      <c r="R3131" t="n">
        <v>0.06042</v>
      </c>
      <c r="S3131">
        <f>IMAGE("https://mitra.stanford.edu/kundaje/oak/projects/neuro-variants/variant_position/credible/roussos_2024/variant_figures/roussos_2024.adolescence.Astrocyte/rs67213843_count_position.png",4,220,900)</f>
        <v/>
      </c>
      <c r="T3131">
        <f>IMAGE("https://mitra.stanford.edu/kundaje/oak/projects/neuro-variants/variant_position/credible/roussos_2024/variant_figures/roussos_2024.adolescence.Astrocyte/rs67213843_profile_position.png",4,220,900)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-0.0256630209</v>
      </c>
      <c r="G3132" t="n">
        <v>0.4444553180396541</v>
      </c>
      <c r="H3132" t="n">
        <v>0.0109913589048753</v>
      </c>
      <c r="I3132" t="n">
        <v>0.6489401693377137</v>
      </c>
      <c r="J3132" t="n">
        <v>0.0064163427588048</v>
      </c>
      <c r="K3132" t="n">
        <v>0.7521436492336344</v>
      </c>
      <c r="L3132" t="b">
        <v>0</v>
      </c>
      <c r="M3132" t="b">
        <v>0</v>
      </c>
      <c r="N3132" t="inlineStr">
        <is>
          <t>ref</t>
        </is>
      </c>
      <c r="O3132" t="n">
        <v>100</v>
      </c>
      <c r="P3132" t="n">
        <v>0.01857</v>
      </c>
      <c r="Q3132" t="n">
        <v>80</v>
      </c>
      <c r="R3132" t="n">
        <v>0.167</v>
      </c>
      <c r="S3132">
        <f>IMAGE("https://mitra.stanford.edu/kundaje/oak/projects/neuro-variants/variant_position/credible/roussos_2024/variant_figures/roussos_2024.adolescence.Astrocyte/rs55923363_count_position.png",4,220,900)</f>
        <v/>
      </c>
      <c r="T3132">
        <f>IMAGE("https://mitra.stanford.edu/kundaje/oak/projects/neuro-variants/variant_position/credible/roussos_2024/variant_figures/roussos_2024.adolescence.Astrocyte/rs55923363_profile_position.png",4,220,900)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0.01601220124</v>
      </c>
      <c r="G3133" t="n">
        <v>0.6204337232800493</v>
      </c>
      <c r="H3133" t="n">
        <v>0.0291432549022782</v>
      </c>
      <c r="I3133" t="n">
        <v>0.0348521773190746</v>
      </c>
      <c r="J3133" t="n">
        <v>0.009104530753938699</v>
      </c>
      <c r="K3133" t="n">
        <v>0.6734403441125837</v>
      </c>
      <c r="L3133" t="b">
        <v>0</v>
      </c>
      <c r="M3133" t="b">
        <v>0</v>
      </c>
      <c r="N3133" t="inlineStr">
        <is>
          <t>alt</t>
        </is>
      </c>
      <c r="O3133" t="n">
        <v>25</v>
      </c>
      <c r="P3133" t="n">
        <v>0.00757</v>
      </c>
      <c r="Q3133" t="n">
        <v>60</v>
      </c>
      <c r="R3133" t="n">
        <v>0.1116</v>
      </c>
      <c r="S3133">
        <f>IMAGE("https://mitra.stanford.edu/kundaje/oak/projects/neuro-variants/variant_position/credible/roussos_2024/variant_figures/roussos_2024.adolescence.Astrocyte/rs28521069_count_position.png",4,220,900)</f>
        <v/>
      </c>
      <c r="T3133">
        <f>IMAGE("https://mitra.stanford.edu/kundaje/oak/projects/neuro-variants/variant_position/credible/roussos_2024/variant_figures/roussos_2024.adolescence.Astrocyte/rs28521069_profile_position.png",4,220,900)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0.0126085441999999</v>
      </c>
      <c r="G3134" t="n">
        <v>0.6031880255341785</v>
      </c>
      <c r="H3134" t="n">
        <v>0.0277507972543558</v>
      </c>
      <c r="I3134" t="n">
        <v>0.0430379054861208</v>
      </c>
      <c r="J3134" t="n">
        <v>0.0001535471619736</v>
      </c>
      <c r="K3134" t="n">
        <v>0.9722792723708944</v>
      </c>
      <c r="L3134" t="b">
        <v>0</v>
      </c>
      <c r="M3134" t="b">
        <v>0</v>
      </c>
      <c r="N3134" t="inlineStr">
        <is>
          <t>alt</t>
        </is>
      </c>
      <c r="O3134" t="n">
        <v>100</v>
      </c>
      <c r="P3134" t="n">
        <v>0.007294</v>
      </c>
      <c r="Q3134" t="n">
        <v>100</v>
      </c>
      <c r="R3134" t="n">
        <v>0.0667</v>
      </c>
      <c r="S3134">
        <f>IMAGE("https://mitra.stanford.edu/kundaje/oak/projects/neuro-variants/variant_position/credible/roussos_2024/variant_figures/roussos_2024.adolescence.Astrocyte/rs7666685_count_position.png",4,220,900)</f>
        <v/>
      </c>
      <c r="T3134">
        <f>IMAGE("https://mitra.stanford.edu/kundaje/oak/projects/neuro-variants/variant_position/credible/roussos_2024/variant_figures/roussos_2024.adolescence.Astrocyte/rs7666685_profile_position.png",4,220,900)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0.0415999145999999</v>
      </c>
      <c r="G3135" t="n">
        <v>0.2835016116016681</v>
      </c>
      <c r="H3135" t="n">
        <v>0.0145584820626257</v>
      </c>
      <c r="I3135" t="n">
        <v>0.3517351934082687</v>
      </c>
      <c r="J3135" t="n">
        <v>4.59899712191793e-05</v>
      </c>
      <c r="K3135" t="n">
        <v>0.9949336863598554</v>
      </c>
      <c r="L3135" t="b">
        <v>0</v>
      </c>
      <c r="M3135" t="b">
        <v>0</v>
      </c>
      <c r="N3135" t="inlineStr">
        <is>
          <t>alt</t>
        </is>
      </c>
      <c r="O3135" t="n">
        <v>25</v>
      </c>
      <c r="P3135" t="n">
        <v>0.003624</v>
      </c>
      <c r="Q3135" t="n">
        <v>-70</v>
      </c>
      <c r="R3135" t="n">
        <v>0.073</v>
      </c>
      <c r="S3135">
        <f>IMAGE("https://mitra.stanford.edu/kundaje/oak/projects/neuro-variants/variant_position/credible/roussos_2024/variant_figures/roussos_2024.adolescence.Astrocyte/rs6821845_count_position.png",4,220,900)</f>
        <v/>
      </c>
      <c r="T3135">
        <f>IMAGE("https://mitra.stanford.edu/kundaje/oak/projects/neuro-variants/variant_position/credible/roussos_2024/variant_figures/roussos_2024.adolescence.Astrocyte/rs6821845_profile_position.png",4,220,900)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0.1303468508</v>
      </c>
      <c r="G3136" t="n">
        <v>0.0484471421375752</v>
      </c>
      <c r="H3136" t="n">
        <v>0.0199496602984482</v>
      </c>
      <c r="I3136" t="n">
        <v>0.1398565432036342</v>
      </c>
      <c r="J3136" t="n">
        <v>0.0038275524434026</v>
      </c>
      <c r="K3136" t="n">
        <v>0.8050540964692311</v>
      </c>
      <c r="L3136" t="b">
        <v>0</v>
      </c>
      <c r="M3136" t="b">
        <v>0</v>
      </c>
      <c r="N3136" t="inlineStr">
        <is>
          <t>alt</t>
        </is>
      </c>
      <c r="O3136" t="n">
        <v>85</v>
      </c>
      <c r="P3136" t="n">
        <v>0.0374</v>
      </c>
      <c r="Q3136" t="n">
        <v>-95</v>
      </c>
      <c r="R3136" t="n">
        <v>0.1238</v>
      </c>
      <c r="S3136">
        <f>IMAGE("https://mitra.stanford.edu/kundaje/oak/projects/neuro-variants/variant_position/credible/roussos_2024/variant_figures/roussos_2024.adolescence.Astrocyte/rs145065097_count_position.png",4,220,900)</f>
        <v/>
      </c>
      <c r="T3136">
        <f>IMAGE("https://mitra.stanford.edu/kundaje/oak/projects/neuro-variants/variant_position/credible/roussos_2024/variant_figures/roussos_2024.adolescence.Astrocyte/rs145065097_profile_position.png",4,220,900)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0.01050763328</v>
      </c>
      <c r="G3137" t="n">
        <v>0.6284308719452446</v>
      </c>
      <c r="H3137" t="n">
        <v>0.0080634666117306</v>
      </c>
      <c r="I3137" t="n">
        <v>0.9202812213742227</v>
      </c>
      <c r="J3137" t="n">
        <v>0.0101044417410912</v>
      </c>
      <c r="K3137" t="n">
        <v>0.6609033969724177</v>
      </c>
      <c r="L3137" t="b">
        <v>0</v>
      </c>
      <c r="M3137" t="b">
        <v>0</v>
      </c>
      <c r="N3137" t="inlineStr">
        <is>
          <t>alt</t>
        </is>
      </c>
      <c r="O3137" t="n">
        <v>-25</v>
      </c>
      <c r="P3137" t="n">
        <v>0.0001068</v>
      </c>
      <c r="Q3137" t="n">
        <v>-100</v>
      </c>
      <c r="R3137" t="n">
        <v>0.1357</v>
      </c>
      <c r="S3137">
        <f>IMAGE("https://mitra.stanford.edu/kundaje/oak/projects/neuro-variants/variant_position/credible/roussos_2024/variant_figures/roussos_2024.adolescence.Astrocyte/rs12641736_count_position.png",4,220,900)</f>
        <v/>
      </c>
      <c r="T3137">
        <f>IMAGE("https://mitra.stanford.edu/kundaje/oak/projects/neuro-variants/variant_position/credible/roussos_2024/variant_figures/roussos_2024.adolescence.Astrocyte/rs12641736_profile_position.png",4,220,900)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0.0161711958</v>
      </c>
      <c r="G3138" t="n">
        <v>0.3127183316204571</v>
      </c>
      <c r="H3138" t="n">
        <v>0.0306626626575856</v>
      </c>
      <c r="I3138" t="n">
        <v>0.0300215790535965</v>
      </c>
      <c r="J3138" t="n">
        <v>0.0136642138682016</v>
      </c>
      <c r="K3138" t="n">
        <v>0.6236255119562792</v>
      </c>
      <c r="L3138" t="b">
        <v>0</v>
      </c>
      <c r="M3138" t="b">
        <v>0</v>
      </c>
      <c r="N3138" t="inlineStr">
        <is>
          <t>alt</t>
        </is>
      </c>
      <c r="O3138" t="n">
        <v>-60</v>
      </c>
      <c r="P3138" t="n">
        <v>0.00586</v>
      </c>
      <c r="Q3138" t="n">
        <v>-100</v>
      </c>
      <c r="R3138" t="n">
        <v>0.0669</v>
      </c>
      <c r="S3138">
        <f>IMAGE("https://mitra.stanford.edu/kundaje/oak/projects/neuro-variants/variant_position/credible/roussos_2024/variant_figures/roussos_2024.adolescence.Astrocyte/rs4834649_count_position.png",4,220,900)</f>
        <v/>
      </c>
      <c r="T3138">
        <f>IMAGE("https://mitra.stanford.edu/kundaje/oak/projects/neuro-variants/variant_position/credible/roussos_2024/variant_figures/roussos_2024.adolescence.Astrocyte/rs4834649_profile_position.png",4,220,900)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0.03524017506</v>
      </c>
      <c r="G3139" t="n">
        <v>0.3652692872374537</v>
      </c>
      <c r="H3139" t="n">
        <v>0.0501016237283297</v>
      </c>
      <c r="I3139" t="n">
        <v>0.0039036392199087</v>
      </c>
      <c r="J3139" t="n">
        <v>0.0072968281755333</v>
      </c>
      <c r="K3139" t="n">
        <v>0.7012298023216055</v>
      </c>
      <c r="L3139" t="b">
        <v>0</v>
      </c>
      <c r="M3139" t="b">
        <v>0</v>
      </c>
      <c r="N3139" t="inlineStr">
        <is>
          <t>alt</t>
        </is>
      </c>
      <c r="O3139" t="n">
        <v>100</v>
      </c>
      <c r="P3139" t="n">
        <v>0.02234</v>
      </c>
      <c r="Q3139" t="n">
        <v>100</v>
      </c>
      <c r="R3139" t="n">
        <v>0.1245</v>
      </c>
      <c r="S3139">
        <f>IMAGE("https://mitra.stanford.edu/kundaje/oak/projects/neuro-variants/variant_position/credible/roussos_2024/variant_figures/roussos_2024.adolescence.Astrocyte/rs2389473_count_position.png",4,220,900)</f>
        <v/>
      </c>
      <c r="T3139">
        <f>IMAGE("https://mitra.stanford.edu/kundaje/oak/projects/neuro-variants/variant_position/credible/roussos_2024/variant_figures/roussos_2024.adolescence.Astrocyte/rs2389473_profile_position.png",4,220,900)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0.0809635452</v>
      </c>
      <c r="G3140" t="n">
        <v>0.1185938698651614</v>
      </c>
      <c r="H3140" t="n">
        <v>0.0152850291969307</v>
      </c>
      <c r="I3140" t="n">
        <v>0.3100080941035665</v>
      </c>
      <c r="J3140" t="n">
        <v>0.0002069548704862</v>
      </c>
      <c r="K3140" t="n">
        <v>0.9636012954510286</v>
      </c>
      <c r="L3140" t="b">
        <v>0</v>
      </c>
      <c r="M3140" t="b">
        <v>0</v>
      </c>
      <c r="N3140" t="inlineStr">
        <is>
          <t>alt</t>
        </is>
      </c>
      <c r="O3140" t="n">
        <v>-95</v>
      </c>
      <c r="P3140" t="n">
        <v>0.0316</v>
      </c>
      <c r="Q3140" t="n">
        <v>-35</v>
      </c>
      <c r="R3140" t="n">
        <v>0.0472</v>
      </c>
      <c r="S3140">
        <f>IMAGE("https://mitra.stanford.edu/kundaje/oak/projects/neuro-variants/variant_position/credible/roussos_2024/variant_figures/roussos_2024.adolescence.Astrocyte/rs13111689_count_position.png",4,220,900)</f>
        <v/>
      </c>
      <c r="T3140">
        <f>IMAGE("https://mitra.stanford.edu/kundaje/oak/projects/neuro-variants/variant_position/credible/roussos_2024/variant_figures/roussos_2024.adolescence.Astrocyte/rs13111689_profile_position.png",4,220,900)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-0.0220002908</v>
      </c>
      <c r="G3141" t="n">
        <v>0.5272887875336728</v>
      </c>
      <c r="H3141" t="n">
        <v>0.0563194673076654</v>
      </c>
      <c r="I3141" t="n">
        <v>0.0024473610974564</v>
      </c>
      <c r="J3141" t="n">
        <v>0.0030650090496394</v>
      </c>
      <c r="K3141" t="n">
        <v>0.8016606634415572</v>
      </c>
      <c r="L3141" t="b">
        <v>0</v>
      </c>
      <c r="M3141" t="b">
        <v>0</v>
      </c>
      <c r="N3141" t="inlineStr">
        <is>
          <t>ref</t>
        </is>
      </c>
      <c r="O3141" t="n">
        <v>-100</v>
      </c>
      <c r="P3141" t="n">
        <v>0.002258</v>
      </c>
      <c r="Q3141" t="n">
        <v>-70</v>
      </c>
      <c r="R3141" t="n">
        <v>0.05484</v>
      </c>
      <c r="S3141">
        <f>IMAGE("https://mitra.stanford.edu/kundaje/oak/projects/neuro-variants/variant_position/credible/roussos_2024/variant_figures/roussos_2024.adolescence.Astrocyte/rs10005201_count_position.png",4,220,900)</f>
        <v/>
      </c>
      <c r="T3141">
        <f>IMAGE("https://mitra.stanford.edu/kundaje/oak/projects/neuro-variants/variant_position/credible/roussos_2024/variant_figures/roussos_2024.adolescence.Astrocyte/rs10005201_profile_position.png",4,220,900)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-0.0007271013</v>
      </c>
      <c r="G3142" t="n">
        <v>0.5980701966778988</v>
      </c>
      <c r="H3142" t="n">
        <v>0.0180467055781195</v>
      </c>
      <c r="I3142" t="n">
        <v>0.1923430744275161</v>
      </c>
      <c r="J3142" t="n">
        <v>0.0063525502180814</v>
      </c>
      <c r="K3142" t="n">
        <v>0.708757584019273</v>
      </c>
      <c r="L3142" t="b">
        <v>0</v>
      </c>
      <c r="M3142" t="b">
        <v>0</v>
      </c>
      <c r="N3142" t="inlineStr">
        <is>
          <t>ref</t>
        </is>
      </c>
      <c r="O3142" t="n">
        <v>50</v>
      </c>
      <c r="P3142" t="n">
        <v>0.00322</v>
      </c>
      <c r="Q3142" t="n">
        <v>5</v>
      </c>
      <c r="R3142" t="n">
        <v>0.01318</v>
      </c>
      <c r="S3142">
        <f>IMAGE("https://mitra.stanford.edu/kundaje/oak/projects/neuro-variants/variant_position/credible/roussos_2024/variant_figures/roussos_2024.adolescence.Astrocyte/rs1994381_count_position.png",4,220,900)</f>
        <v/>
      </c>
      <c r="T3142">
        <f>IMAGE("https://mitra.stanford.edu/kundaje/oak/projects/neuro-variants/variant_position/credible/roussos_2024/variant_figures/roussos_2024.adolescence.Astrocyte/rs1994381_profile_position.png",4,220,900)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-0.0292155552599999</v>
      </c>
      <c r="G3143" t="n">
        <v>0.4234766137850188</v>
      </c>
      <c r="H3143" t="n">
        <v>0.019431802275456</v>
      </c>
      <c r="I3143" t="n">
        <v>0.1490789602319013</v>
      </c>
      <c r="J3143" t="n">
        <v>0.0018640773818354</v>
      </c>
      <c r="K3143" t="n">
        <v>0.8329673409514955</v>
      </c>
      <c r="L3143" t="b">
        <v>0</v>
      </c>
      <c r="M3143" t="b">
        <v>0</v>
      </c>
      <c r="N3143" t="inlineStr">
        <is>
          <t>ref</t>
        </is>
      </c>
      <c r="O3143" t="n">
        <v>-85</v>
      </c>
      <c r="P3143" t="n">
        <v>0.013336</v>
      </c>
      <c r="Q3143" t="n">
        <v>15</v>
      </c>
      <c r="R3143" t="n">
        <v>0.04657</v>
      </c>
      <c r="S3143">
        <f>IMAGE("https://mitra.stanford.edu/kundaje/oak/projects/neuro-variants/variant_position/credible/roussos_2024/variant_figures/roussos_2024.adolescence.Astrocyte/rs2892779_count_position.png",4,220,900)</f>
        <v/>
      </c>
      <c r="T3143">
        <f>IMAGE("https://mitra.stanford.edu/kundaje/oak/projects/neuro-variants/variant_position/credible/roussos_2024/variant_figures/roussos_2024.adolescence.Astrocyte/rs2892779_profile_position.png",4,220,900)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-0.1948181379999999</v>
      </c>
      <c r="G3144" t="n">
        <v>0.0247008683046396</v>
      </c>
      <c r="H3144" t="n">
        <v>0.0196132991027926</v>
      </c>
      <c r="I3144" t="n">
        <v>0.1528380706204128</v>
      </c>
      <c r="J3144" t="n">
        <v>0.3028847580334094</v>
      </c>
      <c r="K3144" t="n">
        <v>0.1318723986944782</v>
      </c>
      <c r="L3144" t="b">
        <v>0</v>
      </c>
      <c r="M3144" t="b">
        <v>0</v>
      </c>
      <c r="N3144" t="inlineStr">
        <is>
          <t>ref</t>
        </is>
      </c>
      <c r="O3144" t="n">
        <v>-5</v>
      </c>
      <c r="P3144" t="n">
        <v>0.001221</v>
      </c>
      <c r="Q3144" t="n">
        <v>5</v>
      </c>
      <c r="R3144" t="n">
        <v>0.004883</v>
      </c>
      <c r="S3144">
        <f>IMAGE("https://mitra.stanford.edu/kundaje/oak/projects/neuro-variants/variant_position/credible/roussos_2024/variant_figures/roussos_2024.adolescence.Astrocyte/rs1992418_count_position.png",4,220,900)</f>
        <v/>
      </c>
      <c r="T3144">
        <f>IMAGE("https://mitra.stanford.edu/kundaje/oak/projects/neuro-variants/variant_position/credible/roussos_2024/variant_figures/roussos_2024.adolescence.Astrocyte/rs1992418_profile_position.png",4,220,900)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0.02324336311</v>
      </c>
      <c r="G3145" t="n">
        <v>0.523991022056981</v>
      </c>
      <c r="H3145" t="n">
        <v>0.0113263748039897</v>
      </c>
      <c r="I3145" t="n">
        <v>0.6257896072039587</v>
      </c>
      <c r="J3145" t="n">
        <v>0.0036628786754887</v>
      </c>
      <c r="K3145" t="n">
        <v>0.7653007352927073</v>
      </c>
      <c r="L3145" t="b">
        <v>0</v>
      </c>
      <c r="M3145" t="b">
        <v>0</v>
      </c>
      <c r="N3145" t="inlineStr">
        <is>
          <t>alt</t>
        </is>
      </c>
      <c r="O3145" t="n">
        <v>90</v>
      </c>
      <c r="P3145" t="n">
        <v>0.01318</v>
      </c>
      <c r="Q3145" t="n">
        <v>100</v>
      </c>
      <c r="R3145" t="n">
        <v>0.06619999999999999</v>
      </c>
      <c r="S3145">
        <f>IMAGE("https://mitra.stanford.edu/kundaje/oak/projects/neuro-variants/variant_position/credible/roussos_2024/variant_figures/roussos_2024.adolescence.Astrocyte/rs6537131_count_position.png",4,220,900)</f>
        <v/>
      </c>
      <c r="T3145">
        <f>IMAGE("https://mitra.stanford.edu/kundaje/oak/projects/neuro-variants/variant_position/credible/roussos_2024/variant_figures/roussos_2024.adolescence.Astrocyte/rs6537131_profile_position.png",4,220,900)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0.00841538696</v>
      </c>
      <c r="G3146" t="n">
        <v>0.4142379930438135</v>
      </c>
      <c r="H3146" t="n">
        <v>0.0216984184744683</v>
      </c>
      <c r="I3146" t="n">
        <v>0.1071431512157117</v>
      </c>
      <c r="J3146" t="n">
        <v>0.0066907990386611</v>
      </c>
      <c r="K3146" t="n">
        <v>0.7286543085378305</v>
      </c>
      <c r="L3146" t="b">
        <v>0</v>
      </c>
      <c r="M3146" t="b">
        <v>0</v>
      </c>
      <c r="N3146" t="inlineStr">
        <is>
          <t>alt</t>
        </is>
      </c>
      <c r="O3146" t="n">
        <v>-65</v>
      </c>
      <c r="P3146" t="n">
        <v>0.01358</v>
      </c>
      <c r="Q3146" t="n">
        <v>85</v>
      </c>
      <c r="R3146" t="n">
        <v>0.144</v>
      </c>
      <c r="S3146">
        <f>IMAGE("https://mitra.stanford.edu/kundaje/oak/projects/neuro-variants/variant_position/credible/roussos_2024/variant_figures/roussos_2024.adolescence.Astrocyte/rs17016873_count_position.png",4,220,900)</f>
        <v/>
      </c>
      <c r="T3146">
        <f>IMAGE("https://mitra.stanford.edu/kundaje/oak/projects/neuro-variants/variant_position/credible/roussos_2024/variant_figures/roussos_2024.adolescence.Astrocyte/rs17016873_profile_position.png",4,220,900)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-0.00210404634</v>
      </c>
      <c r="G3147" t="n">
        <v>0.7638238811240968</v>
      </c>
      <c r="H3147" t="n">
        <v>0.0201606243283086</v>
      </c>
      <c r="I3147" t="n">
        <v>0.1334690506212009</v>
      </c>
      <c r="J3147" t="n">
        <v>0.0019456724920629</v>
      </c>
      <c r="K3147" t="n">
        <v>0.8343013896780045</v>
      </c>
      <c r="L3147" t="b">
        <v>0</v>
      </c>
      <c r="M3147" t="b">
        <v>0</v>
      </c>
      <c r="N3147" t="inlineStr">
        <is>
          <t>ref</t>
        </is>
      </c>
      <c r="O3147" t="n">
        <v>65</v>
      </c>
      <c r="P3147" t="n">
        <v>0.002586</v>
      </c>
      <c r="Q3147" t="n">
        <v>60</v>
      </c>
      <c r="R3147" t="n">
        <v>0.0287</v>
      </c>
      <c r="S3147">
        <f>IMAGE("https://mitra.stanford.edu/kundaje/oak/projects/neuro-variants/variant_position/credible/roussos_2024/variant_figures/roussos_2024.adolescence.Astrocyte/rs7681616_count_position.png",4,220,900)</f>
        <v/>
      </c>
      <c r="T3147">
        <f>IMAGE("https://mitra.stanford.edu/kundaje/oak/projects/neuro-variants/variant_position/credible/roussos_2024/variant_figures/roussos_2024.adolescence.Astrocyte/rs7681616_profile_position.png",4,220,900)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-0.08423571940000001</v>
      </c>
      <c r="G3148" t="n">
        <v>0.1200488285121153</v>
      </c>
      <c r="H3148" t="n">
        <v>0.0172836343313959</v>
      </c>
      <c r="I3148" t="n">
        <v>0.2186194074861492</v>
      </c>
      <c r="J3148" t="n">
        <v>0.0003968489451976</v>
      </c>
      <c r="K3148" t="n">
        <v>0.927043683692973</v>
      </c>
      <c r="L3148" t="b">
        <v>0</v>
      </c>
      <c r="M3148" t="b">
        <v>0</v>
      </c>
      <c r="N3148" t="inlineStr">
        <is>
          <t>ref</t>
        </is>
      </c>
      <c r="O3148" t="n">
        <v>-100</v>
      </c>
      <c r="P3148" t="n">
        <v>0.002571</v>
      </c>
      <c r="Q3148" t="n">
        <v>-35</v>
      </c>
      <c r="R3148" t="n">
        <v>0.0586</v>
      </c>
      <c r="S3148">
        <f>IMAGE("https://mitra.stanford.edu/kundaje/oak/projects/neuro-variants/variant_position/credible/roussos_2024/variant_figures/roussos_2024.adolescence.Astrocyte/rs7679474_count_position.png",4,220,900)</f>
        <v/>
      </c>
      <c r="T3148">
        <f>IMAGE("https://mitra.stanford.edu/kundaje/oak/projects/neuro-variants/variant_position/credible/roussos_2024/variant_figures/roussos_2024.adolescence.Astrocyte/rs7679474_profile_position.png",4,220,900)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-0.0323443956</v>
      </c>
      <c r="G3149" t="n">
        <v>0.3928717625180615</v>
      </c>
      <c r="H3149" t="n">
        <v>0.0098506851368187</v>
      </c>
      <c r="I3149" t="n">
        <v>0.7600649064183029</v>
      </c>
      <c r="J3149" t="n">
        <v>0.0003879476604456</v>
      </c>
      <c r="K3149" t="n">
        <v>0.929149822452066</v>
      </c>
      <c r="L3149" t="b">
        <v>0</v>
      </c>
      <c r="M3149" t="b">
        <v>0</v>
      </c>
      <c r="N3149" t="inlineStr">
        <is>
          <t>ref</t>
        </is>
      </c>
      <c r="O3149" t="n">
        <v>95</v>
      </c>
      <c r="P3149" t="n">
        <v>0.0009155</v>
      </c>
      <c r="Q3149" t="n">
        <v>90</v>
      </c>
      <c r="R3149" t="n">
        <v>0.10583</v>
      </c>
      <c r="S3149">
        <f>IMAGE("https://mitra.stanford.edu/kundaje/oak/projects/neuro-variants/variant_position/credible/roussos_2024/variant_figures/roussos_2024.adolescence.Astrocyte/rs10006846_count_position.png",4,220,900)</f>
        <v/>
      </c>
      <c r="T3149">
        <f>IMAGE("https://mitra.stanford.edu/kundaje/oak/projects/neuro-variants/variant_position/credible/roussos_2024/variant_figures/roussos_2024.adolescence.Astrocyte/rs10006846_profile_position.png",4,220,900)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0.009390792800000001</v>
      </c>
      <c r="G3150" t="n">
        <v>0.624321244025435</v>
      </c>
      <c r="H3150" t="n">
        <v>0.0224717281638686</v>
      </c>
      <c r="I3150" t="n">
        <v>0.09387494818406961</v>
      </c>
      <c r="J3150" t="n">
        <v>0.0032341334599293</v>
      </c>
      <c r="K3150" t="n">
        <v>0.7839505660353465</v>
      </c>
      <c r="L3150" t="b">
        <v>0</v>
      </c>
      <c r="M3150" t="b">
        <v>0</v>
      </c>
      <c r="N3150" t="inlineStr">
        <is>
          <t>alt</t>
        </is>
      </c>
      <c r="O3150" t="n">
        <v>35</v>
      </c>
      <c r="P3150" t="n">
        <v>0.001724</v>
      </c>
      <c r="Q3150" t="n">
        <v>-50</v>
      </c>
      <c r="R3150" t="n">
        <v>0.04095</v>
      </c>
      <c r="S3150">
        <f>IMAGE("https://mitra.stanford.edu/kundaje/oak/projects/neuro-variants/variant_position/credible/roussos_2024/variant_figures/roussos_2024.adolescence.Astrocyte/rs4690706_count_position.png",4,220,900)</f>
        <v/>
      </c>
      <c r="T3150">
        <f>IMAGE("https://mitra.stanford.edu/kundaje/oak/projects/neuro-variants/variant_position/credible/roussos_2024/variant_figures/roussos_2024.adolescence.Astrocyte/rs4690706_profile_position.png",4,220,900)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0.0271833062999999</v>
      </c>
      <c r="G3151" t="n">
        <v>0.4510177540514636</v>
      </c>
      <c r="H3151" t="n">
        <v>0.0393524637232417</v>
      </c>
      <c r="I3151" t="n">
        <v>0.0103080628576329</v>
      </c>
      <c r="J3151" t="n">
        <v>0.0207422187935791</v>
      </c>
      <c r="K3151" t="n">
        <v>0.5703107345859996</v>
      </c>
      <c r="L3151" t="b">
        <v>1</v>
      </c>
      <c r="M3151" t="b">
        <v>0</v>
      </c>
      <c r="N3151" t="inlineStr">
        <is>
          <t>alt</t>
        </is>
      </c>
      <c r="O3151" t="n">
        <v>20</v>
      </c>
      <c r="P3151" t="n">
        <v>0.001221</v>
      </c>
      <c r="Q3151" t="n">
        <v>20</v>
      </c>
      <c r="R3151" t="n">
        <v>0.01001</v>
      </c>
      <c r="S3151">
        <f>IMAGE("https://mitra.stanford.edu/kundaje/oak/projects/neuro-variants/variant_position/credible/roussos_2024/variant_figures/roussos_2024.adolescence.Astrocyte/rs28390284_count_position.png",4,220,900)</f>
        <v/>
      </c>
      <c r="T3151">
        <f>IMAGE("https://mitra.stanford.edu/kundaje/oak/projects/neuro-variants/variant_position/credible/roussos_2024/variant_figures/roussos_2024.adolescence.Astrocyte/rs28390284_profile_position.png",4,220,900)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0.1095423969999999</v>
      </c>
      <c r="G3152" t="n">
        <v>0.0735898708079965</v>
      </c>
      <c r="H3152" t="n">
        <v>0.0182739379963645</v>
      </c>
      <c r="I3152" t="n">
        <v>0.1831185670007408</v>
      </c>
      <c r="J3152" t="n">
        <v>0.0007988903065008</v>
      </c>
      <c r="K3152" t="n">
        <v>0.895628273370515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0.01633</v>
      </c>
      <c r="Q3152" t="n">
        <v>-80</v>
      </c>
      <c r="R3152" t="n">
        <v>0.08953999999999999</v>
      </c>
      <c r="S3152">
        <f>IMAGE("https://mitra.stanford.edu/kundaje/oak/projects/neuro-variants/variant_position/credible/roussos_2024/variant_figures/roussos_2024.adolescence.Astrocyte/rs4690709_count_position.png",4,220,900)</f>
        <v/>
      </c>
      <c r="T3152">
        <f>IMAGE("https://mitra.stanford.edu/kundaje/oak/projects/neuro-variants/variant_position/credible/roussos_2024/variant_figures/roussos_2024.adolescence.Astrocyte/rs4690709_profile_position.png",4,220,900)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-0.0256421246</v>
      </c>
      <c r="G3153" t="n">
        <v>0.4736964571341687</v>
      </c>
      <c r="H3153" t="n">
        <v>0.0084106215871843</v>
      </c>
      <c r="I3153" t="n">
        <v>0.870781798900492</v>
      </c>
      <c r="J3153" t="n">
        <v>0.0002700056374803</v>
      </c>
      <c r="K3153" t="n">
        <v>0.9492620404795704</v>
      </c>
      <c r="L3153" t="b">
        <v>0</v>
      </c>
      <c r="M3153" t="b">
        <v>0</v>
      </c>
      <c r="N3153" t="inlineStr">
        <is>
          <t>ref</t>
        </is>
      </c>
      <c r="O3153" t="n">
        <v>-100</v>
      </c>
      <c r="P3153" t="n">
        <v>0.02168</v>
      </c>
      <c r="Q3153" t="n">
        <v>0</v>
      </c>
      <c r="R3153" t="n">
        <v>0</v>
      </c>
      <c r="S3153">
        <f>IMAGE("https://mitra.stanford.edu/kundaje/oak/projects/neuro-variants/variant_position/credible/roussos_2024/variant_figures/roussos_2024.adolescence.Astrocyte/rs1605954_count_position.png",4,220,900)</f>
        <v/>
      </c>
      <c r="T3153">
        <f>IMAGE("https://mitra.stanford.edu/kundaje/oak/projects/neuro-variants/variant_position/credible/roussos_2024/variant_figures/roussos_2024.adolescence.Astrocyte/rs1605954_profile_position.png",4,220,900)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-0.0040544956</v>
      </c>
      <c r="G3154" t="n">
        <v>0.4476343010043018</v>
      </c>
      <c r="H3154" t="n">
        <v>0.0082408255728649</v>
      </c>
      <c r="I3154" t="n">
        <v>0.9129049765089108</v>
      </c>
      <c r="J3154" t="n">
        <v>0.0039054386849835</v>
      </c>
      <c r="K3154" t="n">
        <v>0.7849158741263905</v>
      </c>
      <c r="L3154" t="b">
        <v>0</v>
      </c>
      <c r="M3154" t="b">
        <v>0</v>
      </c>
      <c r="N3154" t="inlineStr">
        <is>
          <t>ref</t>
        </is>
      </c>
      <c r="O3154" t="n">
        <v>20</v>
      </c>
      <c r="P3154" t="n">
        <v>0.006134</v>
      </c>
      <c r="Q3154" t="n">
        <v>0</v>
      </c>
      <c r="R3154" t="n">
        <v>0</v>
      </c>
      <c r="S3154">
        <f>IMAGE("https://mitra.stanford.edu/kundaje/oak/projects/neuro-variants/variant_position/credible/roussos_2024/variant_figures/roussos_2024.adolescence.Astrocyte/rs28849788_count_position.png",4,220,900)</f>
        <v/>
      </c>
      <c r="T3154">
        <f>IMAGE("https://mitra.stanford.edu/kundaje/oak/projects/neuro-variants/variant_position/credible/roussos_2024/variant_figures/roussos_2024.adolescence.Astrocyte/rs28849788_profile_position.png",4,220,900)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0.01690793486</v>
      </c>
      <c r="G3155" t="n">
        <v>0.6148949549939349</v>
      </c>
      <c r="H3155" t="n">
        <v>0.021306284541327</v>
      </c>
      <c r="I3155" t="n">
        <v>0.1104296613339783</v>
      </c>
      <c r="J3155" t="n">
        <v>0.0057517134973147</v>
      </c>
      <c r="K3155" t="n">
        <v>0.7327607357987219</v>
      </c>
      <c r="L3155" t="b">
        <v>0</v>
      </c>
      <c r="M3155" t="b">
        <v>0</v>
      </c>
      <c r="N3155" t="inlineStr">
        <is>
          <t>alt</t>
        </is>
      </c>
      <c r="O3155" t="n">
        <v>95</v>
      </c>
      <c r="P3155" t="n">
        <v>0.05304</v>
      </c>
      <c r="Q3155" t="n">
        <v>-45</v>
      </c>
      <c r="R3155" t="n">
        <v>0.05322</v>
      </c>
      <c r="S3155">
        <f>IMAGE("https://mitra.stanford.edu/kundaje/oak/projects/neuro-variants/variant_position/credible/roussos_2024/variant_figures/roussos_2024.adolescence.Astrocyte/rs1510139_count_position.png",4,220,900)</f>
        <v/>
      </c>
      <c r="T3155">
        <f>IMAGE("https://mitra.stanford.edu/kundaje/oak/projects/neuro-variants/variant_position/credible/roussos_2024/variant_figures/roussos_2024.adolescence.Astrocyte/rs1510139_profile_position.png",4,220,900)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0.00048117458</v>
      </c>
      <c r="G3156" t="n">
        <v>0.691304106643172</v>
      </c>
      <c r="H3156" t="n">
        <v>0.0112415202159695</v>
      </c>
      <c r="I3156" t="n">
        <v>0.6277973184603615</v>
      </c>
      <c r="J3156" t="n">
        <v>0.0272579592321157</v>
      </c>
      <c r="K3156" t="n">
        <v>0.5416402142168221</v>
      </c>
      <c r="L3156" t="b">
        <v>0</v>
      </c>
      <c r="M3156" t="b">
        <v>0</v>
      </c>
      <c r="N3156" t="inlineStr">
        <is>
          <t>alt</t>
        </is>
      </c>
      <c r="O3156" t="n">
        <v>-85</v>
      </c>
      <c r="P3156" t="n">
        <v>0.02792</v>
      </c>
      <c r="Q3156" t="n">
        <v>-100</v>
      </c>
      <c r="R3156" t="n">
        <v>0.1753</v>
      </c>
      <c r="S3156">
        <f>IMAGE("https://mitra.stanford.edu/kundaje/oak/projects/neuro-variants/variant_position/credible/roussos_2024/variant_figures/roussos_2024.adolescence.Astrocyte/rs2083619_count_position.png",4,220,900)</f>
        <v/>
      </c>
      <c r="T3156">
        <f>IMAGE("https://mitra.stanford.edu/kundaje/oak/projects/neuro-variants/variant_position/credible/roussos_2024/variant_figures/roussos_2024.adolescence.Astrocyte/rs2083619_profile_position.png",4,220,900)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0.0788613952</v>
      </c>
      <c r="G3157" t="n">
        <v>0.1143564257729657</v>
      </c>
      <c r="H3157" t="n">
        <v>0.0140582532531911</v>
      </c>
      <c r="I3157" t="n">
        <v>0.3787357503064154</v>
      </c>
      <c r="J3157" t="n">
        <v>0.0138674598700412</v>
      </c>
      <c r="K3157" t="n">
        <v>0.6251127166556554</v>
      </c>
      <c r="L3157" t="b">
        <v>0</v>
      </c>
      <c r="M3157" t="b">
        <v>0</v>
      </c>
      <c r="N3157" t="inlineStr">
        <is>
          <t>alt</t>
        </is>
      </c>
      <c r="O3157" t="n">
        <v>-30</v>
      </c>
      <c r="P3157" t="n">
        <v>0.0005646</v>
      </c>
      <c r="Q3157" t="n">
        <v>-65</v>
      </c>
      <c r="R3157" t="n">
        <v>0.1201</v>
      </c>
      <c r="S3157">
        <f>IMAGE("https://mitra.stanford.edu/kundaje/oak/projects/neuro-variants/variant_position/credible/roussos_2024/variant_figures/roussos_2024.adolescence.Astrocyte/rs10017013_count_position.png",4,220,900)</f>
        <v/>
      </c>
      <c r="T3157">
        <f>IMAGE("https://mitra.stanford.edu/kundaje/oak/projects/neuro-variants/variant_position/credible/roussos_2024/variant_figures/roussos_2024.adolescence.Astrocyte/rs10017013_profile_position.png",4,220,900)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-0.0643562465999999</v>
      </c>
      <c r="G3158" t="n">
        <v>0.1911896169226431</v>
      </c>
      <c r="H3158" t="n">
        <v>0.0158228410663147</v>
      </c>
      <c r="I3158" t="n">
        <v>0.2822752396488669</v>
      </c>
      <c r="J3158" t="n">
        <v>0.0013233243331453</v>
      </c>
      <c r="K3158" t="n">
        <v>0.8623707505911054</v>
      </c>
      <c r="L3158" t="b">
        <v>0</v>
      </c>
      <c r="M3158" t="b">
        <v>0</v>
      </c>
      <c r="N3158" t="inlineStr">
        <is>
          <t>ref</t>
        </is>
      </c>
      <c r="O3158" t="n">
        <v>95</v>
      </c>
      <c r="P3158" t="n">
        <v>0.007168</v>
      </c>
      <c r="Q3158" t="n">
        <v>100</v>
      </c>
      <c r="R3158" t="n">
        <v>0.07153</v>
      </c>
      <c r="S3158">
        <f>IMAGE("https://mitra.stanford.edu/kundaje/oak/projects/neuro-variants/variant_position/credible/roussos_2024/variant_figures/roussos_2024.adolescence.Astrocyte/rs1876939_count_position.png",4,220,900)</f>
        <v/>
      </c>
      <c r="T3158">
        <f>IMAGE("https://mitra.stanford.edu/kundaje/oak/projects/neuro-variants/variant_position/credible/roussos_2024/variant_figures/roussos_2024.adolescence.Astrocyte/rs1876939_profile_position.png",4,220,900)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-0.0222461624</v>
      </c>
      <c r="G3159" t="n">
        <v>0.5176850298151174</v>
      </c>
      <c r="H3159" t="n">
        <v>0.0286816154573365</v>
      </c>
      <c r="I3159" t="n">
        <v>0.0380052137665723</v>
      </c>
      <c r="J3159" t="n">
        <v>0.00162225914607</v>
      </c>
      <c r="K3159" t="n">
        <v>0.83859696946789</v>
      </c>
      <c r="L3159" t="b">
        <v>0</v>
      </c>
      <c r="M3159" t="b">
        <v>0</v>
      </c>
      <c r="N3159" t="inlineStr">
        <is>
          <t>ref</t>
        </is>
      </c>
      <c r="O3159" t="n">
        <v>0</v>
      </c>
      <c r="P3159" t="n">
        <v>0</v>
      </c>
      <c r="Q3159" t="n">
        <v>100</v>
      </c>
      <c r="R3159" t="n">
        <v>0.09265</v>
      </c>
      <c r="S3159">
        <f>IMAGE("https://mitra.stanford.edu/kundaje/oak/projects/neuro-variants/variant_position/credible/roussos_2024/variant_figures/roussos_2024.adolescence.Astrocyte/rs2010483_count_position.png",4,220,900)</f>
        <v/>
      </c>
      <c r="T3159">
        <f>IMAGE("https://mitra.stanford.edu/kundaje/oak/projects/neuro-variants/variant_position/credible/roussos_2024/variant_figures/roussos_2024.adolescence.Astrocyte/rs2010483_profile_position.png",4,220,900)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0.0441429931999999</v>
      </c>
      <c r="G3160" t="n">
        <v>0.2965284126086118</v>
      </c>
      <c r="H3160" t="n">
        <v>0.009346173973116999</v>
      </c>
      <c r="I3160" t="n">
        <v>0.8143596096358111</v>
      </c>
      <c r="J3160" t="n">
        <v>0.0010288401625967</v>
      </c>
      <c r="K3160" t="n">
        <v>0.8738472544162902</v>
      </c>
      <c r="L3160" t="b">
        <v>0</v>
      </c>
      <c r="M3160" t="b">
        <v>0</v>
      </c>
      <c r="N3160" t="inlineStr">
        <is>
          <t>alt</t>
        </is>
      </c>
      <c r="O3160" t="n">
        <v>-95</v>
      </c>
      <c r="P3160" t="n">
        <v>0.00319</v>
      </c>
      <c r="Q3160" t="n">
        <v>25</v>
      </c>
      <c r="R3160" t="n">
        <v>0.05725</v>
      </c>
      <c r="S3160">
        <f>IMAGE("https://mitra.stanford.edu/kundaje/oak/projects/neuro-variants/variant_position/credible/roussos_2024/variant_figures/roussos_2024.adolescence.Astrocyte/rs4690738_count_position.png",4,220,900)</f>
        <v/>
      </c>
      <c r="T3160">
        <f>IMAGE("https://mitra.stanford.edu/kundaje/oak/projects/neuro-variants/variant_position/credible/roussos_2024/variant_figures/roussos_2024.adolescence.Astrocyte/rs4690738_profile_position.png",4,220,900)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-0.0622951358</v>
      </c>
      <c r="G3161" t="n">
        <v>0.1768022746277429</v>
      </c>
      <c r="H3161" t="n">
        <v>0.0155134429471469</v>
      </c>
      <c r="I3161" t="n">
        <v>0.3016644602950094</v>
      </c>
      <c r="J3161" t="n">
        <v>0.0194226033290804</v>
      </c>
      <c r="K3161" t="n">
        <v>0.6027280122838724</v>
      </c>
      <c r="L3161" t="b">
        <v>0</v>
      </c>
      <c r="M3161" t="b">
        <v>0</v>
      </c>
      <c r="N3161" t="inlineStr">
        <is>
          <t>ref</t>
        </is>
      </c>
      <c r="O3161" t="n">
        <v>-50</v>
      </c>
      <c r="P3161" t="n">
        <v>0.002075</v>
      </c>
      <c r="Q3161" t="n">
        <v>70</v>
      </c>
      <c r="R3161" t="n">
        <v>0.09279999999999999</v>
      </c>
      <c r="S3161">
        <f>IMAGE("https://mitra.stanford.edu/kundaje/oak/projects/neuro-variants/variant_position/credible/roussos_2024/variant_figures/roussos_2024.adolescence.Astrocyte/rs13115045_count_position.png",4,220,900)</f>
        <v/>
      </c>
      <c r="T3161">
        <f>IMAGE("https://mitra.stanford.edu/kundaje/oak/projects/neuro-variants/variant_position/credible/roussos_2024/variant_figures/roussos_2024.adolescence.Astrocyte/rs13115045_profile_position.png",4,220,900)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0.0040307448</v>
      </c>
      <c r="G3162" t="n">
        <v>0.7044661216125033</v>
      </c>
      <c r="H3162" t="n">
        <v>0.0209915307567628</v>
      </c>
      <c r="I3162" t="n">
        <v>0.1159846986022651</v>
      </c>
      <c r="J3162" t="n">
        <v>0.0281577307658071</v>
      </c>
      <c r="K3162" t="n">
        <v>0.5542894035005347</v>
      </c>
      <c r="L3162" t="b">
        <v>0</v>
      </c>
      <c r="M3162" t="b">
        <v>0</v>
      </c>
      <c r="N3162" t="inlineStr">
        <is>
          <t>alt</t>
        </is>
      </c>
      <c r="O3162" t="n">
        <v>-85</v>
      </c>
      <c r="P3162" t="n">
        <v>0.02403</v>
      </c>
      <c r="Q3162" t="n">
        <v>-85</v>
      </c>
      <c r="R3162" t="n">
        <v>0.1433</v>
      </c>
      <c r="S3162">
        <f>IMAGE("https://mitra.stanford.edu/kundaje/oak/projects/neuro-variants/variant_position/credible/roussos_2024/variant_figures/roussos_2024.adolescence.Astrocyte/rs10009395_count_position.png",4,220,900)</f>
        <v/>
      </c>
      <c r="T3162">
        <f>IMAGE("https://mitra.stanford.edu/kundaje/oak/projects/neuro-variants/variant_position/credible/roussos_2024/variant_figures/roussos_2024.adolescence.Astrocyte/rs10009395_profile_position.png",4,220,900)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0.0644434696</v>
      </c>
      <c r="G3163" t="n">
        <v>0.1591149290715859</v>
      </c>
      <c r="H3163" t="n">
        <v>0.0104434146022484</v>
      </c>
      <c r="I3163" t="n">
        <v>0.7172048707135854</v>
      </c>
      <c r="J3163" t="n">
        <v>0.0032741892413138</v>
      </c>
      <c r="K3163" t="n">
        <v>0.8072837404802081</v>
      </c>
      <c r="L3163" t="b">
        <v>0</v>
      </c>
      <c r="M3163" t="b">
        <v>0</v>
      </c>
      <c r="N3163" t="inlineStr">
        <is>
          <t>alt</t>
        </is>
      </c>
      <c r="O3163" t="n">
        <v>-100</v>
      </c>
      <c r="P3163" t="n">
        <v>0.01797</v>
      </c>
      <c r="Q3163" t="n">
        <v>15</v>
      </c>
      <c r="R3163" t="n">
        <v>0.04724</v>
      </c>
      <c r="S3163">
        <f>IMAGE("https://mitra.stanford.edu/kundaje/oak/projects/neuro-variants/variant_position/credible/roussos_2024/variant_figures/roussos_2024.adolescence.Astrocyte/rs34596213_count_position.png",4,220,900)</f>
        <v/>
      </c>
      <c r="T3163">
        <f>IMAGE("https://mitra.stanford.edu/kundaje/oak/projects/neuro-variants/variant_position/credible/roussos_2024/variant_figures/roussos_2024.adolescence.Astrocyte/rs34596213_profile_position.png",4,220,900)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0.0192733238</v>
      </c>
      <c r="G3164" t="n">
        <v>0.5488406348331197</v>
      </c>
      <c r="H3164" t="n">
        <v>0.0259956900367348</v>
      </c>
      <c r="I3164" t="n">
        <v>0.0548234134087132</v>
      </c>
      <c r="J3164" t="n">
        <v>0.2078657686259383</v>
      </c>
      <c r="K3164" t="n">
        <v>0.1953677484192539</v>
      </c>
      <c r="L3164" t="b">
        <v>0</v>
      </c>
      <c r="M3164" t="b">
        <v>0</v>
      </c>
      <c r="N3164" t="inlineStr">
        <is>
          <t>alt</t>
        </is>
      </c>
      <c r="O3164" t="n">
        <v>-100</v>
      </c>
      <c r="P3164" t="n">
        <v>0.01175</v>
      </c>
      <c r="Q3164" t="n">
        <v>-100</v>
      </c>
      <c r="R3164" t="n">
        <v>0.0897</v>
      </c>
      <c r="S3164">
        <f>IMAGE("https://mitra.stanford.edu/kundaje/oak/projects/neuro-variants/variant_position/credible/roussos_2024/variant_figures/roussos_2024.adolescence.Astrocyte/rs4690740_count_position.png",4,220,900)</f>
        <v/>
      </c>
      <c r="T3164">
        <f>IMAGE("https://mitra.stanford.edu/kundaje/oak/projects/neuro-variants/variant_position/credible/roussos_2024/variant_figures/roussos_2024.adolescence.Astrocyte/rs4690740_profile_position.png",4,220,900)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-0.0823181186</v>
      </c>
      <c r="G3165" t="n">
        <v>0.1270904103234517</v>
      </c>
      <c r="H3165" t="n">
        <v>0.0145003220585032</v>
      </c>
      <c r="I3165" t="n">
        <v>0.3560266997340442</v>
      </c>
      <c r="J3165" t="n">
        <v>0.0811967777349196</v>
      </c>
      <c r="K3165" t="n">
        <v>0.3685372516969393</v>
      </c>
      <c r="L3165" t="b">
        <v>0</v>
      </c>
      <c r="M3165" t="b">
        <v>0</v>
      </c>
      <c r="N3165" t="inlineStr">
        <is>
          <t>ref</t>
        </is>
      </c>
      <c r="O3165" t="n">
        <v>-40</v>
      </c>
      <c r="P3165" t="n">
        <v>0.01607</v>
      </c>
      <c r="Q3165" t="n">
        <v>-70</v>
      </c>
      <c r="R3165" t="n">
        <v>0.05005</v>
      </c>
      <c r="S3165">
        <f>IMAGE("https://mitra.stanford.edu/kundaje/oak/projects/neuro-variants/variant_position/credible/roussos_2024/variant_figures/roussos_2024.adolescence.Astrocyte/rs17678304_count_position.png",4,220,900)</f>
        <v/>
      </c>
      <c r="T3165">
        <f>IMAGE("https://mitra.stanford.edu/kundaje/oak/projects/neuro-variants/variant_position/credible/roussos_2024/variant_figures/roussos_2024.adolescence.Astrocyte/rs17678304_profile_position.png",4,220,900)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-0.0711428378</v>
      </c>
      <c r="G3166" t="n">
        <v>0.1425119624292388</v>
      </c>
      <c r="H3166" t="n">
        <v>0.013226893111157</v>
      </c>
      <c r="I3166" t="n">
        <v>0.4512685953762463</v>
      </c>
      <c r="J3166" t="n">
        <v>0.0033224045337209</v>
      </c>
      <c r="K3166" t="n">
        <v>0.8281539696641947</v>
      </c>
      <c r="L3166" t="b">
        <v>0</v>
      </c>
      <c r="M3166" t="b">
        <v>0</v>
      </c>
      <c r="N3166" t="inlineStr">
        <is>
          <t>ref</t>
        </is>
      </c>
      <c r="O3166" t="n">
        <v>-25</v>
      </c>
      <c r="P3166" t="n">
        <v>0.00465</v>
      </c>
      <c r="Q3166" t="n">
        <v>-100</v>
      </c>
      <c r="R3166" t="n">
        <v>0.162</v>
      </c>
      <c r="S3166">
        <f>IMAGE("https://mitra.stanford.edu/kundaje/oak/projects/neuro-variants/variant_position/credible/roussos_2024/variant_figures/roussos_2024.adolescence.Astrocyte/rs10026166_count_position.png",4,220,900)</f>
        <v/>
      </c>
      <c r="T3166">
        <f>IMAGE("https://mitra.stanford.edu/kundaje/oak/projects/neuro-variants/variant_position/credible/roussos_2024/variant_figures/roussos_2024.adolescence.Astrocyte/rs10026166_profile_position.png",4,220,900)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-0.033102253</v>
      </c>
      <c r="G3167" t="n">
        <v>0.3730236759467417</v>
      </c>
      <c r="H3167" t="n">
        <v>0.0278732659447612</v>
      </c>
      <c r="I3167" t="n">
        <v>0.0416077940534322</v>
      </c>
      <c r="J3167" t="n">
        <v>0.0011616176601489</v>
      </c>
      <c r="K3167" t="n">
        <v>0.8597398699628209</v>
      </c>
      <c r="L3167" t="b">
        <v>0</v>
      </c>
      <c r="M3167" t="b">
        <v>0</v>
      </c>
      <c r="N3167" t="inlineStr">
        <is>
          <t>ref</t>
        </is>
      </c>
      <c r="O3167" t="n">
        <v>-85</v>
      </c>
      <c r="P3167" t="n">
        <v>0.10077</v>
      </c>
      <c r="Q3167" t="n">
        <v>-90</v>
      </c>
      <c r="R3167" t="n">
        <v>0.095</v>
      </c>
      <c r="S3167">
        <f>IMAGE("https://mitra.stanford.edu/kundaje/oak/projects/neuro-variants/variant_position/credible/roussos_2024/variant_figures/roussos_2024.adolescence.Astrocyte/rs7666854_count_position.png",4,220,900)</f>
        <v/>
      </c>
      <c r="T3167">
        <f>IMAGE("https://mitra.stanford.edu/kundaje/oak/projects/neuro-variants/variant_position/credible/roussos_2024/variant_figures/roussos_2024.adolescence.Astrocyte/rs7666854_profile_position.png",4,220,900)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-0.0176114834654</v>
      </c>
      <c r="G3168" t="n">
        <v>0.5677244972058633</v>
      </c>
      <c r="H3168" t="n">
        <v>0.0196572995126424</v>
      </c>
      <c r="I3168" t="n">
        <v>0.1495824799715852</v>
      </c>
      <c r="J3168" t="n">
        <v>0.0094739340711508</v>
      </c>
      <c r="K3168" t="n">
        <v>0.6768219134657</v>
      </c>
      <c r="L3168" t="b">
        <v>0</v>
      </c>
      <c r="M3168" t="b">
        <v>0</v>
      </c>
      <c r="N3168" t="inlineStr">
        <is>
          <t>ref</t>
        </is>
      </c>
      <c r="O3168" t="n">
        <v>-40</v>
      </c>
      <c r="P3168" t="n">
        <v>0.00987</v>
      </c>
      <c r="Q3168" t="n">
        <v>-65</v>
      </c>
      <c r="R3168" t="n">
        <v>0.0611</v>
      </c>
      <c r="S3168">
        <f>IMAGE("https://mitra.stanford.edu/kundaje/oak/projects/neuro-variants/variant_position/credible/roussos_2024/variant_figures/roussos_2024.adolescence.Astrocyte/rs11936467_count_position.png",4,220,900)</f>
        <v/>
      </c>
      <c r="T3168">
        <f>IMAGE("https://mitra.stanford.edu/kundaje/oak/projects/neuro-variants/variant_position/credible/roussos_2024/variant_figures/roussos_2024.adolescence.Astrocyte/rs11936467_profile_position.png",4,220,900)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0.20062487</v>
      </c>
      <c r="G3169" t="n">
        <v>0.0204629872616545</v>
      </c>
      <c r="H3169" t="n">
        <v>0.0244121163247907</v>
      </c>
      <c r="I3169" t="n">
        <v>0.06931686865668329</v>
      </c>
      <c r="J3169" t="n">
        <v>0.120878705159778</v>
      </c>
      <c r="K3169" t="n">
        <v>0.2916489088185719</v>
      </c>
      <c r="L3169" t="b">
        <v>0</v>
      </c>
      <c r="M3169" t="b">
        <v>0</v>
      </c>
      <c r="N3169" t="inlineStr">
        <is>
          <t>alt</t>
        </is>
      </c>
      <c r="O3169" t="n">
        <v>-55</v>
      </c>
      <c r="P3169" t="n">
        <v>0.00136</v>
      </c>
      <c r="Q3169" t="n">
        <v>95</v>
      </c>
      <c r="R3169" t="n">
        <v>0.05664</v>
      </c>
      <c r="S3169">
        <f>IMAGE("https://mitra.stanford.edu/kundaje/oak/projects/neuro-variants/variant_position/credible/roussos_2024/variant_figures/roussos_2024.adolescence.Astrocyte/rs6820975_count_position.png",4,220,900)</f>
        <v/>
      </c>
      <c r="T3169">
        <f>IMAGE("https://mitra.stanford.edu/kundaje/oak/projects/neuro-variants/variant_position/credible/roussos_2024/variant_figures/roussos_2024.adolescence.Astrocyte/rs6820975_profile_position.png",4,220,900)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0.1502083444</v>
      </c>
      <c r="G3170" t="n">
        <v>0.039387177627201</v>
      </c>
      <c r="H3170" t="n">
        <v>0.0311967697915514</v>
      </c>
      <c r="I3170" t="n">
        <v>0.0273873592899111</v>
      </c>
      <c r="J3170" t="n">
        <v>0.109693499095036</v>
      </c>
      <c r="K3170" t="n">
        <v>0.3081861466700531</v>
      </c>
      <c r="L3170" t="b">
        <v>0</v>
      </c>
      <c r="M3170" t="b">
        <v>0</v>
      </c>
      <c r="N3170" t="inlineStr">
        <is>
          <t>alt</t>
        </is>
      </c>
      <c r="O3170" t="n">
        <v>95</v>
      </c>
      <c r="P3170" t="n">
        <v>0.001661</v>
      </c>
      <c r="Q3170" t="n">
        <v>90</v>
      </c>
      <c r="R3170" t="n">
        <v>0.06006</v>
      </c>
      <c r="S3170">
        <f>IMAGE("https://mitra.stanford.edu/kundaje/oak/projects/neuro-variants/variant_position/credible/roussos_2024/variant_figures/roussos_2024.adolescence.Astrocyte/rs6815888_count_position.png",4,220,900)</f>
        <v/>
      </c>
      <c r="T3170">
        <f>IMAGE("https://mitra.stanford.edu/kundaje/oak/projects/neuro-variants/variant_position/credible/roussos_2024/variant_figures/roussos_2024.adolescence.Astrocyte/rs6815888_profile_position.png",4,220,900)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-0.08792428939999999</v>
      </c>
      <c r="G3171" t="n">
        <v>0.1249356138744409</v>
      </c>
      <c r="H3171" t="n">
        <v>0.0157707014620913</v>
      </c>
      <c r="I3171" t="n">
        <v>0.2881802535569973</v>
      </c>
      <c r="J3171" t="n">
        <v>0.0569200071210277</v>
      </c>
      <c r="K3171" t="n">
        <v>0.4276745331348026</v>
      </c>
      <c r="L3171" t="b">
        <v>0</v>
      </c>
      <c r="M3171" t="b">
        <v>0</v>
      </c>
      <c r="N3171" t="inlineStr">
        <is>
          <t>ref</t>
        </is>
      </c>
      <c r="O3171" t="n">
        <v>-100</v>
      </c>
      <c r="P3171" t="n">
        <v>0.00895</v>
      </c>
      <c r="Q3171" t="n">
        <v>55</v>
      </c>
      <c r="R3171" t="n">
        <v>0.1216</v>
      </c>
      <c r="S3171">
        <f>IMAGE("https://mitra.stanford.edu/kundaje/oak/projects/neuro-variants/variant_position/credible/roussos_2024/variant_figures/roussos_2024.adolescence.Astrocyte/rs13101590_count_position.png",4,220,900)</f>
        <v/>
      </c>
      <c r="T3171">
        <f>IMAGE("https://mitra.stanford.edu/kundaje/oak/projects/neuro-variants/variant_position/credible/roussos_2024/variant_figures/roussos_2024.adolescence.Astrocyte/rs13101590_profile_position.png",4,220,900)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0.038467316</v>
      </c>
      <c r="G3172" t="n">
        <v>0.3249292674745866</v>
      </c>
      <c r="H3172" t="n">
        <v>0.0107846800434143</v>
      </c>
      <c r="I3172" t="n">
        <v>0.6686560650415891</v>
      </c>
      <c r="J3172" t="n">
        <v>0.0625063050766993</v>
      </c>
      <c r="K3172" t="n">
        <v>0.4134878853899554</v>
      </c>
      <c r="L3172" t="b">
        <v>0</v>
      </c>
      <c r="M3172" t="b">
        <v>0</v>
      </c>
      <c r="N3172" t="inlineStr">
        <is>
          <t>alt</t>
        </is>
      </c>
      <c r="O3172" t="n">
        <v>-85</v>
      </c>
      <c r="P3172" t="n">
        <v>0.004616</v>
      </c>
      <c r="Q3172" t="n">
        <v>50</v>
      </c>
      <c r="R3172" t="n">
        <v>0.10254</v>
      </c>
      <c r="S3172">
        <f>IMAGE("https://mitra.stanford.edu/kundaje/oak/projects/neuro-variants/variant_position/credible/roussos_2024/variant_figures/roussos_2024.adolescence.Astrocyte/rs13128465_count_position.png",4,220,900)</f>
        <v/>
      </c>
      <c r="T3172">
        <f>IMAGE("https://mitra.stanford.edu/kundaje/oak/projects/neuro-variants/variant_position/credible/roussos_2024/variant_figures/roussos_2024.adolescence.Astrocyte/rs13128465_profile_position.png",4,220,900)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0.0364748993999999</v>
      </c>
      <c r="G3173" t="n">
        <v>0.334296392249355</v>
      </c>
      <c r="H3173" t="n">
        <v>0.0363943390629776</v>
      </c>
      <c r="I3173" t="n">
        <v>0.0141707321328128</v>
      </c>
      <c r="J3173" t="n">
        <v>0.168516155831825</v>
      </c>
      <c r="K3173" t="n">
        <v>0.2341015116717985</v>
      </c>
      <c r="L3173" t="b">
        <v>1</v>
      </c>
      <c r="M3173" t="b">
        <v>0</v>
      </c>
      <c r="N3173" t="inlineStr">
        <is>
          <t>alt</t>
        </is>
      </c>
      <c r="O3173" t="n">
        <v>0</v>
      </c>
      <c r="P3173" t="n">
        <v>0</v>
      </c>
      <c r="Q3173" t="n">
        <v>-30</v>
      </c>
      <c r="R3173" t="n">
        <v>0.0547</v>
      </c>
      <c r="S3173">
        <f>IMAGE("https://mitra.stanford.edu/kundaje/oak/projects/neuro-variants/variant_position/credible/roussos_2024/variant_figures/roussos_2024.adolescence.Astrocyte/rs13147901_count_position.png",4,220,900)</f>
        <v/>
      </c>
      <c r="T3173">
        <f>IMAGE("https://mitra.stanford.edu/kundaje/oak/projects/neuro-variants/variant_position/credible/roussos_2024/variant_figures/roussos_2024.adolescence.Astrocyte/rs13147901_profile_position.png",4,220,900)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0.0131358597599999</v>
      </c>
      <c r="G3174" t="n">
        <v>0.6728770528174953</v>
      </c>
      <c r="H3174" t="n">
        <v>0.0284988186281216</v>
      </c>
      <c r="I3174" t="n">
        <v>0.0382624831791257</v>
      </c>
      <c r="J3174" t="n">
        <v>0.00096875649052</v>
      </c>
      <c r="K3174" t="n">
        <v>0.8842776532326064</v>
      </c>
      <c r="L3174" t="b">
        <v>0</v>
      </c>
      <c r="M3174" t="b">
        <v>0</v>
      </c>
      <c r="N3174" t="inlineStr">
        <is>
          <t>alt</t>
        </is>
      </c>
      <c r="O3174" t="n">
        <v>80</v>
      </c>
      <c r="P3174" t="n">
        <v>0.007427</v>
      </c>
      <c r="Q3174" t="n">
        <v>-95</v>
      </c>
      <c r="R3174" t="n">
        <v>0.0924</v>
      </c>
      <c r="S3174">
        <f>IMAGE("https://mitra.stanford.edu/kundaje/oak/projects/neuro-variants/variant_position/credible/roussos_2024/variant_figures/roussos_2024.adolescence.Astrocyte/rs4690743_count_position.png",4,220,900)</f>
        <v/>
      </c>
      <c r="T3174">
        <f>IMAGE("https://mitra.stanford.edu/kundaje/oak/projects/neuro-variants/variant_position/credible/roussos_2024/variant_figures/roussos_2024.adolescence.Astrocyte/rs4690743_profile_position.png",4,220,900)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0.232081004</v>
      </c>
      <c r="G3175" t="n">
        <v>0.0133338708626874</v>
      </c>
      <c r="H3175" t="n">
        <v>0.0291797016038143</v>
      </c>
      <c r="I3175" t="n">
        <v>0.0366423824828576</v>
      </c>
      <c r="J3175" t="n">
        <v>0.0023135922618164</v>
      </c>
      <c r="K3175" t="n">
        <v>0.811735108989075</v>
      </c>
      <c r="L3175" t="b">
        <v>1</v>
      </c>
      <c r="M3175" t="b">
        <v>0</v>
      </c>
      <c r="N3175" t="inlineStr">
        <is>
          <t>alt</t>
        </is>
      </c>
      <c r="O3175" t="n">
        <v>80</v>
      </c>
      <c r="P3175" t="n">
        <v>0.3652</v>
      </c>
      <c r="Q3175" t="n">
        <v>85</v>
      </c>
      <c r="R3175" t="n">
        <v>0.1772</v>
      </c>
      <c r="S3175">
        <f>IMAGE("https://mitra.stanford.edu/kundaje/oak/projects/neuro-variants/variant_position/credible/roussos_2024/variant_figures/roussos_2024.adolescence.Astrocyte/rs13110491_count_position.png",4,220,900)</f>
        <v/>
      </c>
      <c r="T3175">
        <f>IMAGE("https://mitra.stanford.edu/kundaje/oak/projects/neuro-variants/variant_position/credible/roussos_2024/variant_figures/roussos_2024.adolescence.Astrocyte/rs13110491_profile_position.png",4,220,900)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-0.00634023908</v>
      </c>
      <c r="G3176" t="n">
        <v>0.657164145321383</v>
      </c>
      <c r="H3176" t="n">
        <v>0.0068057511659503</v>
      </c>
      <c r="I3176" t="n">
        <v>0.9811247372810744</v>
      </c>
      <c r="J3176" t="n">
        <v>0.0046457288668664</v>
      </c>
      <c r="K3176" t="n">
        <v>0.7510389341058292</v>
      </c>
      <c r="L3176" t="b">
        <v>0</v>
      </c>
      <c r="M3176" t="b">
        <v>0</v>
      </c>
      <c r="N3176" t="inlineStr">
        <is>
          <t>ref</t>
        </is>
      </c>
      <c r="O3176" t="n">
        <v>-100</v>
      </c>
      <c r="P3176" t="n">
        <v>0.057</v>
      </c>
      <c r="Q3176" t="n">
        <v>-90</v>
      </c>
      <c r="R3176" t="n">
        <v>0.1133</v>
      </c>
      <c r="S3176">
        <f>IMAGE("https://mitra.stanford.edu/kundaje/oak/projects/neuro-variants/variant_position/credible/roussos_2024/variant_figures/roussos_2024.adolescence.Astrocyte/rs9308158_count_position.png",4,220,900)</f>
        <v/>
      </c>
      <c r="T3176">
        <f>IMAGE("https://mitra.stanford.edu/kundaje/oak/projects/neuro-variants/variant_position/credible/roussos_2024/variant_figures/roussos_2024.adolescence.Astrocyte/rs9308158_profile_position.png",4,220,900)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-0.380094626</v>
      </c>
      <c r="G3177" t="n">
        <v>0.003277161844225</v>
      </c>
      <c r="H3177" t="n">
        <v>0.0644677355670699</v>
      </c>
      <c r="I3177" t="n">
        <v>0.0015213236974537</v>
      </c>
      <c r="J3177" t="n">
        <v>0.0719691125419101</v>
      </c>
      <c r="K3177" t="n">
        <v>0.3854756148901007</v>
      </c>
      <c r="L3177" t="b">
        <v>1</v>
      </c>
      <c r="M3177" t="b">
        <v>1</v>
      </c>
      <c r="N3177" t="inlineStr">
        <is>
          <t>ref</t>
        </is>
      </c>
      <c r="O3177" t="n">
        <v>70</v>
      </c>
      <c r="P3177" t="n">
        <v>0.009964000000000001</v>
      </c>
      <c r="Q3177" t="n">
        <v>95</v>
      </c>
      <c r="R3177" t="n">
        <v>0.1414</v>
      </c>
      <c r="S3177">
        <f>IMAGE("https://mitra.stanford.edu/kundaje/oak/projects/neuro-variants/variant_position/credible/roussos_2024/variant_figures/roussos_2024.adolescence.Astrocyte/rs1510140_count_position.png",4,220,900)</f>
        <v/>
      </c>
      <c r="T3177">
        <f>IMAGE("https://mitra.stanford.edu/kundaje/oak/projects/neuro-variants/variant_position/credible/roussos_2024/variant_figures/roussos_2024.adolescence.Astrocyte/rs1510140_profile_position.png",4,220,900)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0.08980266219999999</v>
      </c>
      <c r="G3178" t="n">
        <v>0.091081302431575</v>
      </c>
      <c r="H3178" t="n">
        <v>0.0200973550952503</v>
      </c>
      <c r="I3178" t="n">
        <v>0.1341611472159418</v>
      </c>
      <c r="J3178" t="n">
        <v>0.009157196688722001</v>
      </c>
      <c r="K3178" t="n">
        <v>0.6728104395395031</v>
      </c>
      <c r="L3178" t="b">
        <v>0</v>
      </c>
      <c r="M3178" t="b">
        <v>0</v>
      </c>
      <c r="N3178" t="inlineStr">
        <is>
          <t>alt</t>
        </is>
      </c>
      <c r="O3178" t="n">
        <v>100</v>
      </c>
      <c r="P3178" t="n">
        <v>0.03522</v>
      </c>
      <c r="Q3178" t="n">
        <v>100</v>
      </c>
      <c r="R3178" t="n">
        <v>0.25</v>
      </c>
      <c r="S3178">
        <f>IMAGE("https://mitra.stanford.edu/kundaje/oak/projects/neuro-variants/variant_position/credible/roussos_2024/variant_figures/roussos_2024.adolescence.Astrocyte/rs2341895_count_position.png",4,220,900)</f>
        <v/>
      </c>
      <c r="T3178">
        <f>IMAGE("https://mitra.stanford.edu/kundaje/oak/projects/neuro-variants/variant_position/credible/roussos_2024/variant_figures/roussos_2024.adolescence.Astrocyte/rs2341895_profile_position.png",4,220,900)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0.008100985079999999</v>
      </c>
      <c r="G3179" t="n">
        <v>0.7534857891005831</v>
      </c>
      <c r="H3179" t="n">
        <v>0.0357063448421103</v>
      </c>
      <c r="I3179" t="n">
        <v>0.0159162939465505</v>
      </c>
      <c r="J3179" t="n">
        <v>0.0001179420229652</v>
      </c>
      <c r="K3179" t="n">
        <v>0.9768916389027956</v>
      </c>
      <c r="L3179" t="b">
        <v>0</v>
      </c>
      <c r="M3179" t="b">
        <v>0</v>
      </c>
      <c r="N3179" t="inlineStr">
        <is>
          <t>alt</t>
        </is>
      </c>
      <c r="O3179" t="n">
        <v>-70</v>
      </c>
      <c r="P3179" t="n">
        <v>0.055</v>
      </c>
      <c r="Q3179" t="n">
        <v>-70</v>
      </c>
      <c r="R3179" t="n">
        <v>0.09863</v>
      </c>
      <c r="S3179">
        <f>IMAGE("https://mitra.stanford.edu/kundaje/oak/projects/neuro-variants/variant_position/credible/roussos_2024/variant_figures/roussos_2024.adolescence.Astrocyte/rs12651028_count_position.png",4,220,900)</f>
        <v/>
      </c>
      <c r="T3179">
        <f>IMAGE("https://mitra.stanford.edu/kundaje/oak/projects/neuro-variants/variant_position/credible/roussos_2024/variant_figures/roussos_2024.adolescence.Astrocyte/rs12651028_profile_position.png",4,220,900)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-0.167342244</v>
      </c>
      <c r="G3180" t="n">
        <v>0.0277338045821755</v>
      </c>
      <c r="H3180" t="n">
        <v>0.0274740922334754</v>
      </c>
      <c r="I3180" t="n">
        <v>0.044946648322942</v>
      </c>
      <c r="J3180" t="n">
        <v>0.0108306382221166</v>
      </c>
      <c r="K3180" t="n">
        <v>0.6602767643861244</v>
      </c>
      <c r="L3180" t="b">
        <v>0</v>
      </c>
      <c r="M3180" t="b">
        <v>0</v>
      </c>
      <c r="N3180" t="inlineStr">
        <is>
          <t>ref</t>
        </is>
      </c>
      <c r="O3180" t="n">
        <v>75</v>
      </c>
      <c r="P3180" t="n">
        <v>0.01044</v>
      </c>
      <c r="Q3180" t="n">
        <v>-45</v>
      </c>
      <c r="R3180" t="n">
        <v>0.08740000000000001</v>
      </c>
      <c r="S3180">
        <f>IMAGE("https://mitra.stanford.edu/kundaje/oak/projects/neuro-variants/variant_position/credible/roussos_2024/variant_figures/roussos_2024.adolescence.Astrocyte/rs982012_count_position.png",4,220,900)</f>
        <v/>
      </c>
      <c r="T3180">
        <f>IMAGE("https://mitra.stanford.edu/kundaje/oak/projects/neuro-variants/variant_position/credible/roussos_2024/variant_figures/roussos_2024.adolescence.Astrocyte/rs982012_profile_position.png",4,220,900)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-0.0318312506</v>
      </c>
      <c r="G3181" t="n">
        <v>0.4009674562777498</v>
      </c>
      <c r="H3181" t="n">
        <v>0.008311667514288299</v>
      </c>
      <c r="I3181" t="n">
        <v>0.8928002814809342</v>
      </c>
      <c r="J3181" t="n">
        <v>0.0009094145921727</v>
      </c>
      <c r="K3181" t="n">
        <v>0.888118362766611</v>
      </c>
      <c r="L3181" t="b">
        <v>0</v>
      </c>
      <c r="M3181" t="b">
        <v>0</v>
      </c>
      <c r="N3181" t="inlineStr">
        <is>
          <t>ref</t>
        </is>
      </c>
      <c r="O3181" t="n">
        <v>100</v>
      </c>
      <c r="P3181" t="n">
        <v>0.01288</v>
      </c>
      <c r="Q3181" t="n">
        <v>100</v>
      </c>
      <c r="R3181" t="n">
        <v>0.06085</v>
      </c>
      <c r="S3181">
        <f>IMAGE("https://mitra.stanford.edu/kundaje/oak/projects/neuro-variants/variant_position/credible/roussos_2024/variant_figures/roussos_2024.adolescence.Astrocyte/rs877367_count_position.png",4,220,900)</f>
        <v/>
      </c>
      <c r="T3181">
        <f>IMAGE("https://mitra.stanford.edu/kundaje/oak/projects/neuro-variants/variant_position/credible/roussos_2024/variant_figures/roussos_2024.adolescence.Astrocyte/rs877367_profile_position.png",4,220,900)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0.0604758354</v>
      </c>
      <c r="G3182" t="n">
        <v>0.188314981460588</v>
      </c>
      <c r="H3182" t="n">
        <v>0.0102093704811125</v>
      </c>
      <c r="I3182" t="n">
        <v>0.7395833168511087</v>
      </c>
      <c r="J3182" t="n">
        <v>0.0247285108150609</v>
      </c>
      <c r="K3182" t="n">
        <v>0.5486012311738686</v>
      </c>
      <c r="L3182" t="b">
        <v>0</v>
      </c>
      <c r="M3182" t="b">
        <v>0</v>
      </c>
      <c r="N3182" t="inlineStr">
        <is>
          <t>alt</t>
        </is>
      </c>
      <c r="O3182" t="n">
        <v>95</v>
      </c>
      <c r="P3182" t="n">
        <v>0.01776</v>
      </c>
      <c r="Q3182" t="n">
        <v>100</v>
      </c>
      <c r="R3182" t="n">
        <v>0.3384</v>
      </c>
      <c r="S3182">
        <f>IMAGE("https://mitra.stanford.edu/kundaje/oak/projects/neuro-variants/variant_position/credible/roussos_2024/variant_figures/roussos_2024.adolescence.Astrocyte/rs1037027_count_position.png",4,220,900)</f>
        <v/>
      </c>
      <c r="T3182">
        <f>IMAGE("https://mitra.stanford.edu/kundaje/oak/projects/neuro-variants/variant_position/credible/roussos_2024/variant_figures/roussos_2024.adolescence.Astrocyte/rs1037027_profile_position.png",4,220,900)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-0.0012481652399999</v>
      </c>
      <c r="G3183" t="n">
        <v>0.9036272559350323</v>
      </c>
      <c r="H3183" t="n">
        <v>0.0119816372583342</v>
      </c>
      <c r="I3183" t="n">
        <v>0.5601399194582924</v>
      </c>
      <c r="J3183" t="n">
        <v>0.0046316351660089</v>
      </c>
      <c r="K3183" t="n">
        <v>0.7418905379344142</v>
      </c>
      <c r="L3183" t="b">
        <v>0</v>
      </c>
      <c r="M3183" t="b">
        <v>0</v>
      </c>
      <c r="N3183" t="inlineStr">
        <is>
          <t>ref</t>
        </is>
      </c>
      <c r="O3183" t="n">
        <v>-100</v>
      </c>
      <c r="P3183" t="n">
        <v>0.1489</v>
      </c>
      <c r="Q3183" t="n">
        <v>-85</v>
      </c>
      <c r="R3183" t="n">
        <v>0.02405</v>
      </c>
      <c r="S3183">
        <f>IMAGE("https://mitra.stanford.edu/kundaje/oak/projects/neuro-variants/variant_position/credible/roussos_2024/variant_figures/roussos_2024.adolescence.Astrocyte/rs1955154_count_position.png",4,220,900)</f>
        <v/>
      </c>
      <c r="T3183">
        <f>IMAGE("https://mitra.stanford.edu/kundaje/oak/projects/neuro-variants/variant_position/credible/roussos_2024/variant_figures/roussos_2024.adolescence.Astrocyte/rs1955154_profile_position.png",4,220,900)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0.09889514499999991</v>
      </c>
      <c r="G3184" t="n">
        <v>0.07839667028513229</v>
      </c>
      <c r="H3184" t="n">
        <v>0.0367670927150192</v>
      </c>
      <c r="I3184" t="n">
        <v>0.0135288664723171</v>
      </c>
      <c r="J3184" t="n">
        <v>0.0001958282645461</v>
      </c>
      <c r="K3184" t="n">
        <v>0.9590560167420368</v>
      </c>
      <c r="L3184" t="b">
        <v>0</v>
      </c>
      <c r="M3184" t="b">
        <v>0</v>
      </c>
      <c r="N3184" t="inlineStr">
        <is>
          <t>alt</t>
        </is>
      </c>
      <c r="O3184" t="n">
        <v>-45</v>
      </c>
      <c r="P3184" t="n">
        <v>0.005188</v>
      </c>
      <c r="Q3184" t="n">
        <v>95</v>
      </c>
      <c r="R3184" t="n">
        <v>0.03058</v>
      </c>
      <c r="S3184">
        <f>IMAGE("https://mitra.stanford.edu/kundaje/oak/projects/neuro-variants/variant_position/credible/roussos_2024/variant_figures/roussos_2024.adolescence.Astrocyte/rs1899932_count_position.png",4,220,900)</f>
        <v/>
      </c>
      <c r="T3184">
        <f>IMAGE("https://mitra.stanford.edu/kundaje/oak/projects/neuro-variants/variant_position/credible/roussos_2024/variant_figures/roussos_2024.adolescence.Astrocyte/rs1899932_profile_position.png",4,220,900)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-0.128899825</v>
      </c>
      <c r="G3185" t="n">
        <v>0.0532652693668398</v>
      </c>
      <c r="H3185" t="n">
        <v>0.0227566485560355</v>
      </c>
      <c r="I3185" t="n">
        <v>0.0892757814945063</v>
      </c>
      <c r="J3185" t="n">
        <v>0.0115946651633385</v>
      </c>
      <c r="K3185" t="n">
        <v>0.6550203506257494</v>
      </c>
      <c r="L3185" t="b">
        <v>0</v>
      </c>
      <c r="M3185" t="b">
        <v>0</v>
      </c>
      <c r="N3185" t="inlineStr">
        <is>
          <t>ref</t>
        </is>
      </c>
      <c r="O3185" t="n">
        <v>-80</v>
      </c>
      <c r="P3185" t="n">
        <v>0.001068</v>
      </c>
      <c r="Q3185" t="n">
        <v>-80</v>
      </c>
      <c r="R3185" t="n">
        <v>0.01538</v>
      </c>
      <c r="S3185">
        <f>IMAGE("https://mitra.stanford.edu/kundaje/oak/projects/neuro-variants/variant_position/credible/roussos_2024/variant_figures/roussos_2024.adolescence.Astrocyte/rs1020356_count_position.png",4,220,900)</f>
        <v/>
      </c>
      <c r="T3185">
        <f>IMAGE("https://mitra.stanford.edu/kundaje/oak/projects/neuro-variants/variant_position/credible/roussos_2024/variant_figures/roussos_2024.adolescence.Astrocyte/rs1020356_profile_position.png",4,220,900)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-0.046256594</v>
      </c>
      <c r="G3186" t="n">
        <v>0.184876303691732</v>
      </c>
      <c r="H3186" t="n">
        <v>0.0209213228976774</v>
      </c>
      <c r="I3186" t="n">
        <v>0.1235738180090659</v>
      </c>
      <c r="J3186" t="n">
        <v>0.0891990327270569</v>
      </c>
      <c r="K3186" t="n">
        <v>0.3537809683375733</v>
      </c>
      <c r="L3186" t="b">
        <v>0</v>
      </c>
      <c r="M3186" t="b">
        <v>0</v>
      </c>
      <c r="N3186" t="inlineStr">
        <is>
          <t>ref</t>
        </is>
      </c>
      <c r="O3186" t="n">
        <v>100</v>
      </c>
      <c r="P3186" t="n">
        <v>0.0592</v>
      </c>
      <c r="Q3186" t="n">
        <v>95</v>
      </c>
      <c r="R3186" t="n">
        <v>0.3677</v>
      </c>
      <c r="S3186">
        <f>IMAGE("https://mitra.stanford.edu/kundaje/oak/projects/neuro-variants/variant_position/credible/roussos_2024/variant_figures/roussos_2024.adolescence.Astrocyte/rs116327309_count_position.png",4,220,900)</f>
        <v/>
      </c>
      <c r="T3186">
        <f>IMAGE("https://mitra.stanford.edu/kundaje/oak/projects/neuro-variants/variant_position/credible/roussos_2024/variant_figures/roussos_2024.adolescence.Astrocyte/rs116327309_profile_position.png",4,220,900)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-0.0251095668</v>
      </c>
      <c r="G3187" t="n">
        <v>0.4479524337103119</v>
      </c>
      <c r="H3187" t="n">
        <v>0.024074868395864</v>
      </c>
      <c r="I3187" t="n">
        <v>0.0722180720046134</v>
      </c>
      <c r="J3187" t="n">
        <v>0.0391018603685131</v>
      </c>
      <c r="K3187" t="n">
        <v>0.4912439783937072</v>
      </c>
      <c r="L3187" t="b">
        <v>0</v>
      </c>
      <c r="M3187" t="b">
        <v>0</v>
      </c>
      <c r="N3187" t="inlineStr">
        <is>
          <t>ref</t>
        </is>
      </c>
      <c r="O3187" t="n">
        <v>-100</v>
      </c>
      <c r="P3187" t="n">
        <v>0.05826</v>
      </c>
      <c r="Q3187" t="n">
        <v>-100</v>
      </c>
      <c r="R3187" t="n">
        <v>0.3823</v>
      </c>
      <c r="S3187">
        <f>IMAGE("https://mitra.stanford.edu/kundaje/oak/projects/neuro-variants/variant_position/credible/roussos_2024/variant_figures/roussos_2024.adolescence.Astrocyte/rs17311826_count_position.png",4,220,900)</f>
        <v/>
      </c>
      <c r="T3187">
        <f>IMAGE("https://mitra.stanford.edu/kundaje/oak/projects/neuro-variants/variant_position/credible/roussos_2024/variant_figures/roussos_2024.adolescence.Astrocyte/rs17311826_profile_position.png",4,220,900)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-0.1277087894</v>
      </c>
      <c r="G3188" t="n">
        <v>0.059103861125318</v>
      </c>
      <c r="H3188" t="n">
        <v>0.0216383263447275</v>
      </c>
      <c r="I3188" t="n">
        <v>0.1139048623976793</v>
      </c>
      <c r="J3188" t="n">
        <v>0.0515213779188795</v>
      </c>
      <c r="K3188" t="n">
        <v>0.4451012015983227</v>
      </c>
      <c r="L3188" t="b">
        <v>0</v>
      </c>
      <c r="M3188" t="b">
        <v>0</v>
      </c>
      <c r="N3188" t="inlineStr">
        <is>
          <t>ref</t>
        </is>
      </c>
      <c r="O3188" t="n">
        <v>30</v>
      </c>
      <c r="P3188" t="n">
        <v>0.02814</v>
      </c>
      <c r="Q3188" t="n">
        <v>30</v>
      </c>
      <c r="R3188" t="n">
        <v>0.04224</v>
      </c>
      <c r="S3188">
        <f>IMAGE("https://mitra.stanford.edu/kundaje/oak/projects/neuro-variants/variant_position/credible/roussos_2024/variant_figures/roussos_2024.adolescence.Astrocyte/rs7657567_count_position.png",4,220,900)</f>
        <v/>
      </c>
      <c r="T3188">
        <f>IMAGE("https://mitra.stanford.edu/kundaje/oak/projects/neuro-variants/variant_position/credible/roussos_2024/variant_figures/roussos_2024.adolescence.Astrocyte/rs7657567_profile_position.png",4,220,900)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-0.0226283896</v>
      </c>
      <c r="G3189" t="n">
        <v>0.5085129679657761</v>
      </c>
      <c r="H3189" t="n">
        <v>0.0273055155889848</v>
      </c>
      <c r="I3189" t="n">
        <v>0.0451579573883548</v>
      </c>
      <c r="J3189" t="n">
        <v>0.0199270094650327</v>
      </c>
      <c r="K3189" t="n">
        <v>0.5733677956175759</v>
      </c>
      <c r="L3189" t="b">
        <v>0</v>
      </c>
      <c r="M3189" t="b">
        <v>0</v>
      </c>
      <c r="N3189" t="inlineStr">
        <is>
          <t>ref</t>
        </is>
      </c>
      <c r="O3189" t="n">
        <v>-65</v>
      </c>
      <c r="P3189" t="n">
        <v>0.02324</v>
      </c>
      <c r="Q3189" t="n">
        <v>-95</v>
      </c>
      <c r="R3189" t="n">
        <v>0.02155</v>
      </c>
      <c r="S3189">
        <f>IMAGE("https://mitra.stanford.edu/kundaje/oak/projects/neuro-variants/variant_position/credible/roussos_2024/variant_figures/roussos_2024.adolescence.Astrocyte/rs13112591_count_position.png",4,220,900)</f>
        <v/>
      </c>
      <c r="T3189">
        <f>IMAGE("https://mitra.stanford.edu/kundaje/oak/projects/neuro-variants/variant_position/credible/roussos_2024/variant_figures/roussos_2024.adolescence.Astrocyte/rs13112591_profile_position.png",4,220,900)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0.02925009972</v>
      </c>
      <c r="G3190" t="n">
        <v>0.2689783544818271</v>
      </c>
      <c r="H3190" t="n">
        <v>0.011211060033086</v>
      </c>
      <c r="I3190" t="n">
        <v>0.6204418710447992</v>
      </c>
      <c r="J3190" t="n">
        <v>0.2178537518915229</v>
      </c>
      <c r="K3190" t="n">
        <v>0.188387757727948</v>
      </c>
      <c r="L3190" t="b">
        <v>0</v>
      </c>
      <c r="M3190" t="b">
        <v>0</v>
      </c>
      <c r="N3190" t="inlineStr">
        <is>
          <t>alt</t>
        </is>
      </c>
      <c r="O3190" t="n">
        <v>95</v>
      </c>
      <c r="P3190" t="n">
        <v>0.004704</v>
      </c>
      <c r="Q3190" t="n">
        <v>60</v>
      </c>
      <c r="R3190" t="n">
        <v>0.0945</v>
      </c>
      <c r="S3190">
        <f>IMAGE("https://mitra.stanford.edu/kundaje/oak/projects/neuro-variants/variant_position/credible/roussos_2024/variant_figures/roussos_2024.adolescence.Astrocyte/rs4692712_count_position.png",4,220,900)</f>
        <v/>
      </c>
      <c r="T3190">
        <f>IMAGE("https://mitra.stanford.edu/kundaje/oak/projects/neuro-variants/variant_position/credible/roussos_2024/variant_figures/roussos_2024.adolescence.Astrocyte/rs4692712_profile_position.png",4,220,900)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-0.1159653968</v>
      </c>
      <c r="G3191" t="n">
        <v>0.06396078365704</v>
      </c>
      <c r="H3191" t="n">
        <v>0.0238781688756118</v>
      </c>
      <c r="I3191" t="n">
        <v>0.0739959420526113</v>
      </c>
      <c r="J3191" t="n">
        <v>0.0106963771771058</v>
      </c>
      <c r="K3191" t="n">
        <v>0.6530399672421348</v>
      </c>
      <c r="L3191" t="b">
        <v>0</v>
      </c>
      <c r="M3191" t="b">
        <v>0</v>
      </c>
      <c r="N3191" t="inlineStr">
        <is>
          <t>ref</t>
        </is>
      </c>
      <c r="O3191" t="n">
        <v>-20</v>
      </c>
      <c r="P3191" t="n">
        <v>0.001923</v>
      </c>
      <c r="Q3191" t="n">
        <v>-15</v>
      </c>
      <c r="R3191" t="n">
        <v>0.10394</v>
      </c>
      <c r="S3191">
        <f>IMAGE("https://mitra.stanford.edu/kundaje/oak/projects/neuro-variants/variant_position/credible/roussos_2024/variant_figures/roussos_2024.adolescence.Astrocyte/rs6839248_count_position.png",4,220,900)</f>
        <v/>
      </c>
      <c r="T3191">
        <f>IMAGE("https://mitra.stanford.edu/kundaje/oak/projects/neuro-variants/variant_position/credible/roussos_2024/variant_figures/roussos_2024.adolescence.Astrocyte/rs6839248_profile_position.png",4,220,900)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0.0119573088</v>
      </c>
      <c r="G3192" t="n">
        <v>0.701511665637479</v>
      </c>
      <c r="H3192" t="n">
        <v>0.0311393042679471</v>
      </c>
      <c r="I3192" t="n">
        <v>0.0268504944057707</v>
      </c>
      <c r="J3192" t="n">
        <v>0.012479601222443</v>
      </c>
      <c r="K3192" t="n">
        <v>0.6370937534882081</v>
      </c>
      <c r="L3192" t="b">
        <v>0</v>
      </c>
      <c r="M3192" t="b">
        <v>0</v>
      </c>
      <c r="N3192" t="inlineStr">
        <is>
          <t>alt</t>
        </is>
      </c>
      <c r="O3192" t="n">
        <v>-90</v>
      </c>
      <c r="P3192" t="n">
        <v>0.003967</v>
      </c>
      <c r="Q3192" t="n">
        <v>100</v>
      </c>
      <c r="R3192" t="n">
        <v>0.0975</v>
      </c>
      <c r="S3192">
        <f>IMAGE("https://mitra.stanford.edu/kundaje/oak/projects/neuro-variants/variant_position/credible/roussos_2024/variant_figures/roussos_2024.adolescence.Astrocyte/rs12641082_count_position.png",4,220,900)</f>
        <v/>
      </c>
      <c r="T3192">
        <f>IMAGE("https://mitra.stanford.edu/kundaje/oak/projects/neuro-variants/variant_position/credible/roussos_2024/variant_figures/roussos_2024.adolescence.Astrocyte/rs12641082_profile_position.png",4,220,900)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-0.0637812812</v>
      </c>
      <c r="G3193" t="n">
        <v>0.1730468063386649</v>
      </c>
      <c r="H3193" t="n">
        <v>0.0176624291274883</v>
      </c>
      <c r="I3193" t="n">
        <v>0.2025483398617676</v>
      </c>
      <c r="J3193" t="n">
        <v>0.0011875797406758</v>
      </c>
      <c r="K3193" t="n">
        <v>0.8711134077578448</v>
      </c>
      <c r="L3193" t="b">
        <v>0</v>
      </c>
      <c r="M3193" t="b">
        <v>0</v>
      </c>
      <c r="N3193" t="inlineStr">
        <is>
          <t>ref</t>
        </is>
      </c>
      <c r="O3193" t="n">
        <v>-100</v>
      </c>
      <c r="P3193" t="n">
        <v>0.002693</v>
      </c>
      <c r="Q3193" t="n">
        <v>10</v>
      </c>
      <c r="R3193" t="n">
        <v>0.05267</v>
      </c>
      <c r="S3193">
        <f>IMAGE("https://mitra.stanford.edu/kundaje/oak/projects/neuro-variants/variant_position/credible/roussos_2024/variant_figures/roussos_2024.adolescence.Astrocyte/rs12500131_count_position.png",4,220,900)</f>
        <v/>
      </c>
      <c r="T3193">
        <f>IMAGE("https://mitra.stanford.edu/kundaje/oak/projects/neuro-variants/variant_position/credible/roussos_2024/variant_figures/roussos_2024.adolescence.Astrocyte/rs12500131_profile_position.png",4,220,900)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-0.0005815949399999</v>
      </c>
      <c r="G3194" t="n">
        <v>0.7160277055042286</v>
      </c>
      <c r="H3194" t="n">
        <v>0.0271359362060107</v>
      </c>
      <c r="I3194" t="n">
        <v>0.0471367610136861</v>
      </c>
      <c r="J3194" t="n">
        <v>0.0039840667002937</v>
      </c>
      <c r="K3194" t="n">
        <v>0.7785149479746971</v>
      </c>
      <c r="L3194" t="b">
        <v>0</v>
      </c>
      <c r="M3194" t="b">
        <v>0</v>
      </c>
      <c r="N3194" t="inlineStr">
        <is>
          <t>ref</t>
        </is>
      </c>
      <c r="O3194" t="n">
        <v>85</v>
      </c>
      <c r="P3194" t="n">
        <v>0.013535</v>
      </c>
      <c r="Q3194" t="n">
        <v>-10</v>
      </c>
      <c r="R3194" t="n">
        <v>0.05298</v>
      </c>
      <c r="S3194">
        <f>IMAGE("https://mitra.stanford.edu/kundaje/oak/projects/neuro-variants/variant_position/credible/roussos_2024/variant_figures/roussos_2024.adolescence.Astrocyte/rs6553440_count_position.png",4,220,900)</f>
        <v/>
      </c>
      <c r="T3194">
        <f>IMAGE("https://mitra.stanford.edu/kundaje/oak/projects/neuro-variants/variant_position/credible/roussos_2024/variant_figures/roussos_2024.adolescence.Astrocyte/rs6553440_profile_position.png",4,220,900)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0.01846681782</v>
      </c>
      <c r="G3195" t="n">
        <v>0.3602683713214353</v>
      </c>
      <c r="H3195" t="n">
        <v>0.0263935158707314</v>
      </c>
      <c r="I3195" t="n">
        <v>0.0574037974150489</v>
      </c>
      <c r="J3195" t="n">
        <v>0.1933173604723614</v>
      </c>
      <c r="K3195" t="n">
        <v>0.214667773536657</v>
      </c>
      <c r="L3195" t="b">
        <v>0</v>
      </c>
      <c r="M3195" t="b">
        <v>0</v>
      </c>
      <c r="N3195" t="inlineStr">
        <is>
          <t>alt</t>
        </is>
      </c>
      <c r="O3195" t="n">
        <v>35</v>
      </c>
      <c r="P3195" t="n">
        <v>0.00586</v>
      </c>
      <c r="Q3195" t="n">
        <v>-5</v>
      </c>
      <c r="R3195" t="n">
        <v>0.008059999999999999</v>
      </c>
      <c r="S3195">
        <f>IMAGE("https://mitra.stanford.edu/kundaje/oak/projects/neuro-variants/variant_position/credible/roussos_2024/variant_figures/roussos_2024.adolescence.Astrocyte/rs75394761_count_position.png",4,220,900)</f>
        <v/>
      </c>
      <c r="T3195">
        <f>IMAGE("https://mitra.stanford.edu/kundaje/oak/projects/neuro-variants/variant_position/credible/roussos_2024/variant_figures/roussos_2024.adolescence.Astrocyte/rs75394761_profile_position.png",4,220,900)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0.075114835</v>
      </c>
      <c r="G3196" t="n">
        <v>0.13190186663009</v>
      </c>
      <c r="H3196" t="n">
        <v>0.0197569785964167</v>
      </c>
      <c r="I3196" t="n">
        <v>0.1551537805998899</v>
      </c>
      <c r="J3196" t="n">
        <v>0.001383408005222</v>
      </c>
      <c r="K3196" t="n">
        <v>0.8520449309266684</v>
      </c>
      <c r="L3196" t="b">
        <v>0</v>
      </c>
      <c r="M3196" t="b">
        <v>0</v>
      </c>
      <c r="N3196" t="inlineStr">
        <is>
          <t>alt</t>
        </is>
      </c>
      <c r="O3196" t="n">
        <v>25</v>
      </c>
      <c r="P3196" t="n">
        <v>0.001602</v>
      </c>
      <c r="Q3196" t="n">
        <v>0</v>
      </c>
      <c r="R3196" t="n">
        <v>0</v>
      </c>
      <c r="S3196">
        <f>IMAGE("https://mitra.stanford.edu/kundaje/oak/projects/neuro-variants/variant_position/credible/roussos_2024/variant_figures/roussos_2024.adolescence.Astrocyte/rs4235024_count_position.png",4,220,900)</f>
        <v/>
      </c>
      <c r="T3196">
        <f>IMAGE("https://mitra.stanford.edu/kundaje/oak/projects/neuro-variants/variant_position/credible/roussos_2024/variant_figures/roussos_2024.adolescence.Astrocyte/rs4235024_profile_position.png",4,220,900)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-0.0179179218</v>
      </c>
      <c r="G3197" t="n">
        <v>0.5909788584939768</v>
      </c>
      <c r="H3197" t="n">
        <v>0.0087593133325194</v>
      </c>
      <c r="I3197" t="n">
        <v>0.8581084119079945</v>
      </c>
      <c r="J3197" t="n">
        <v>0.0422788772512832</v>
      </c>
      <c r="K3197" t="n">
        <v>0.4661649637107256</v>
      </c>
      <c r="L3197" t="b">
        <v>0</v>
      </c>
      <c r="M3197" t="b">
        <v>0</v>
      </c>
      <c r="N3197" t="inlineStr">
        <is>
          <t>ref</t>
        </is>
      </c>
      <c r="O3197" t="n">
        <v>-95</v>
      </c>
      <c r="P3197" t="n">
        <v>0.02396</v>
      </c>
      <c r="Q3197" t="n">
        <v>-100</v>
      </c>
      <c r="R3197" t="n">
        <v>0.3086</v>
      </c>
      <c r="S3197">
        <f>IMAGE("https://mitra.stanford.edu/kundaje/oak/projects/neuro-variants/variant_position/credible/roussos_2024/variant_figures/roussos_2024.adolescence.Astrocyte/rs4692574_count_position.png",4,220,900)</f>
        <v/>
      </c>
      <c r="T3197">
        <f>IMAGE("https://mitra.stanford.edu/kundaje/oak/projects/neuro-variants/variant_position/credible/roussos_2024/variant_figures/roussos_2024.adolescence.Astrocyte/rs4692574_profile_position.png",4,220,900)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0.0690518166</v>
      </c>
      <c r="G3198" t="n">
        <v>0.166858347890418</v>
      </c>
      <c r="H3198" t="n">
        <v>0.0283013045105805</v>
      </c>
      <c r="I3198" t="n">
        <v>0.0408305243250492</v>
      </c>
      <c r="J3198" t="n">
        <v>0.0994280924546776</v>
      </c>
      <c r="K3198" t="n">
        <v>0.3409094578226235</v>
      </c>
      <c r="L3198" t="b">
        <v>0</v>
      </c>
      <c r="M3198" t="b">
        <v>0</v>
      </c>
      <c r="N3198" t="inlineStr">
        <is>
          <t>alt</t>
        </is>
      </c>
      <c r="O3198" t="n">
        <v>100</v>
      </c>
      <c r="P3198" t="n">
        <v>0.01807</v>
      </c>
      <c r="Q3198" t="n">
        <v>-50</v>
      </c>
      <c r="R3198" t="n">
        <v>0.07715</v>
      </c>
      <c r="S3198">
        <f>IMAGE("https://mitra.stanford.edu/kundaje/oak/projects/neuro-variants/variant_position/credible/roussos_2024/variant_figures/roussos_2024.adolescence.Astrocyte/rs115477840_count_position.png",4,220,900)</f>
        <v/>
      </c>
      <c r="T3198">
        <f>IMAGE("https://mitra.stanford.edu/kundaje/oak/projects/neuro-variants/variant_position/credible/roussos_2024/variant_figures/roussos_2024.adolescence.Astrocyte/rs115477840_profile_position.png",4,220,900)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0.0147380635999999</v>
      </c>
      <c r="G3199" t="n">
        <v>0.4976799923522986</v>
      </c>
      <c r="H3199" t="n">
        <v>0.0291968995999108</v>
      </c>
      <c r="I3199" t="n">
        <v>0.0361197904336633</v>
      </c>
      <c r="J3199" t="n">
        <v>0.0086846868231314</v>
      </c>
      <c r="K3199" t="n">
        <v>0.6741399457204792</v>
      </c>
      <c r="L3199" t="b">
        <v>0</v>
      </c>
      <c r="M3199" t="b">
        <v>0</v>
      </c>
      <c r="N3199" t="inlineStr">
        <is>
          <t>alt</t>
        </is>
      </c>
      <c r="O3199" t="n">
        <v>55</v>
      </c>
      <c r="P3199" t="n">
        <v>0.005737</v>
      </c>
      <c r="Q3199" t="n">
        <v>0</v>
      </c>
      <c r="R3199" t="n">
        <v>0</v>
      </c>
      <c r="S3199">
        <f>IMAGE("https://mitra.stanford.edu/kundaje/oak/projects/neuro-variants/variant_position/credible/roussos_2024/variant_figures/roussos_2024.adolescence.Astrocyte/rs6823311_count_position.png",4,220,900)</f>
        <v/>
      </c>
      <c r="T3199">
        <f>IMAGE("https://mitra.stanford.edu/kundaje/oak/projects/neuro-variants/variant_position/credible/roussos_2024/variant_figures/roussos_2024.adolescence.Astrocyte/rs6823311_profile_position.png",4,220,900)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-0.0988412244</v>
      </c>
      <c r="G3200" t="n">
        <v>0.0914806013396528</v>
      </c>
      <c r="H3200" t="n">
        <v>0.0145389129734467</v>
      </c>
      <c r="I3200" t="n">
        <v>0.3531581314515382</v>
      </c>
      <c r="J3200" t="n">
        <v>0.0456502388511408</v>
      </c>
      <c r="K3200" t="n">
        <v>0.4498095240646529</v>
      </c>
      <c r="L3200" t="b">
        <v>0</v>
      </c>
      <c r="M3200" t="b">
        <v>0</v>
      </c>
      <c r="N3200" t="inlineStr">
        <is>
          <t>ref</t>
        </is>
      </c>
      <c r="O3200" t="n">
        <v>-65</v>
      </c>
      <c r="P3200" t="n">
        <v>0.007095</v>
      </c>
      <c r="Q3200" t="n">
        <v>-100</v>
      </c>
      <c r="R3200" t="n">
        <v>0.1963</v>
      </c>
      <c r="S3200">
        <f>IMAGE("https://mitra.stanford.edu/kundaje/oak/projects/neuro-variants/variant_position/credible/roussos_2024/variant_figures/roussos_2024.adolescence.Astrocyte/rs6850446_count_position.png",4,220,900)</f>
        <v/>
      </c>
      <c r="T3200">
        <f>IMAGE("https://mitra.stanford.edu/kundaje/oak/projects/neuro-variants/variant_position/credible/roussos_2024/variant_figures/roussos_2024.adolescence.Astrocyte/rs6850446_profile_position.png",4,220,900)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-0.00341811476</v>
      </c>
      <c r="G3201" t="n">
        <v>0.7965283752862226</v>
      </c>
      <c r="H3201" t="n">
        <v>0.0187798773533977</v>
      </c>
      <c r="I3201" t="n">
        <v>0.1679570443376361</v>
      </c>
      <c r="J3201" t="n">
        <v>0.0004339376316648</v>
      </c>
      <c r="K3201" t="n">
        <v>0.9284237204786958</v>
      </c>
      <c r="L3201" t="b">
        <v>0</v>
      </c>
      <c r="M3201" t="b">
        <v>0</v>
      </c>
      <c r="N3201" t="inlineStr">
        <is>
          <t>ref</t>
        </is>
      </c>
      <c r="O3201" t="n">
        <v>40</v>
      </c>
      <c r="P3201" t="n">
        <v>0.002876</v>
      </c>
      <c r="Q3201" t="n">
        <v>-70</v>
      </c>
      <c r="R3201" t="n">
        <v>0.05023</v>
      </c>
      <c r="S3201">
        <f>IMAGE("https://mitra.stanford.edu/kundaje/oak/projects/neuro-variants/variant_position/credible/roussos_2024/variant_figures/roussos_2024.adolescence.Astrocyte/rs1027407_count_position.png",4,220,900)</f>
        <v/>
      </c>
      <c r="T3201">
        <f>IMAGE("https://mitra.stanford.edu/kundaje/oak/projects/neuro-variants/variant_position/credible/roussos_2024/variant_figures/roussos_2024.adolescence.Astrocyte/rs1027407_profile_position.png",4,220,900)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0.0178662996</v>
      </c>
      <c r="G3202" t="n">
        <v>0.5691615092720747</v>
      </c>
      <c r="H3202" t="n">
        <v>0.0295230469613801</v>
      </c>
      <c r="I3202" t="n">
        <v>0.033530516096481</v>
      </c>
      <c r="J3202" t="n">
        <v>0.002282437765184</v>
      </c>
      <c r="K3202" t="n">
        <v>0.8145180021103231</v>
      </c>
      <c r="L3202" t="b">
        <v>0</v>
      </c>
      <c r="M3202" t="b">
        <v>0</v>
      </c>
      <c r="N3202" t="inlineStr">
        <is>
          <t>alt</t>
        </is>
      </c>
      <c r="O3202" t="n">
        <v>-35</v>
      </c>
      <c r="P3202" t="n">
        <v>0.001592</v>
      </c>
      <c r="Q3202" t="n">
        <v>-100</v>
      </c>
      <c r="R3202" t="n">
        <v>0.11426</v>
      </c>
      <c r="S3202">
        <f>IMAGE("https://mitra.stanford.edu/kundaje/oak/projects/neuro-variants/variant_position/credible/roussos_2024/variant_figures/roussos_2024.adolescence.Astrocyte/rs28376387_count_position.png",4,220,900)</f>
        <v/>
      </c>
      <c r="T3202">
        <f>IMAGE("https://mitra.stanford.edu/kundaje/oak/projects/neuro-variants/variant_position/credible/roussos_2024/variant_figures/roussos_2024.adolescence.Astrocyte/rs28376387_profile_position.png",4,220,900)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-0.08813564159999999</v>
      </c>
      <c r="G3203" t="n">
        <v>0.1507350475738458</v>
      </c>
      <c r="H3203" t="n">
        <v>0.0180202320420996</v>
      </c>
      <c r="I3203" t="n">
        <v>0.1914393561716536</v>
      </c>
      <c r="J3203" t="n">
        <v>0.0403888377889208</v>
      </c>
      <c r="K3203" t="n">
        <v>0.4759808870085514</v>
      </c>
      <c r="L3203" t="b">
        <v>0</v>
      </c>
      <c r="M3203" t="b">
        <v>0</v>
      </c>
      <c r="N3203" t="inlineStr">
        <is>
          <t>ref</t>
        </is>
      </c>
      <c r="O3203" t="n">
        <v>20</v>
      </c>
      <c r="P3203" t="n">
        <v>0.002266</v>
      </c>
      <c r="Q3203" t="n">
        <v>45</v>
      </c>
      <c r="R3203" t="n">
        <v>0.06433</v>
      </c>
      <c r="S3203">
        <f>IMAGE("https://mitra.stanford.edu/kundaje/oak/projects/neuro-variants/variant_position/credible/roussos_2024/variant_figures/roussos_2024.adolescence.Astrocyte/rs17062106_count_position.png",4,220,900)</f>
        <v/>
      </c>
      <c r="T3203">
        <f>IMAGE("https://mitra.stanford.edu/kundaje/oak/projects/neuro-variants/variant_position/credible/roussos_2024/variant_figures/roussos_2024.adolescence.Astrocyte/rs17062106_profile_position.png",4,220,900)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-0.06454127979999991</v>
      </c>
      <c r="G3204" t="n">
        <v>0.1858033212733514</v>
      </c>
      <c r="H3204" t="n">
        <v>0.0166367875249882</v>
      </c>
      <c r="I3204" t="n">
        <v>0.2424590657785631</v>
      </c>
      <c r="J3204" t="n">
        <v>0.0081624781176749</v>
      </c>
      <c r="K3204" t="n">
        <v>0.6868367300511034</v>
      </c>
      <c r="L3204" t="b">
        <v>0</v>
      </c>
      <c r="M3204" t="b">
        <v>0</v>
      </c>
      <c r="N3204" t="inlineStr">
        <is>
          <t>ref</t>
        </is>
      </c>
      <c r="O3204" t="n">
        <v>70</v>
      </c>
      <c r="P3204" t="n">
        <v>0.009834000000000001</v>
      </c>
      <c r="Q3204" t="n">
        <v>-100</v>
      </c>
      <c r="R3204" t="n">
        <v>0.09045</v>
      </c>
      <c r="S3204">
        <f>IMAGE("https://mitra.stanford.edu/kundaje/oak/projects/neuro-variants/variant_position/credible/roussos_2024/variant_figures/roussos_2024.adolescence.Astrocyte/rs62334820_count_position.png",4,220,900)</f>
        <v/>
      </c>
      <c r="T3204">
        <f>IMAGE("https://mitra.stanford.edu/kundaje/oak/projects/neuro-variants/variant_position/credible/roussos_2024/variant_figures/roussos_2024.adolescence.Astrocyte/rs62334820_profile_position.png",4,220,900)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-0.0314760546</v>
      </c>
      <c r="G3205" t="n">
        <v>0.4083377558281555</v>
      </c>
      <c r="H3205" t="n">
        <v>0.009291653924453301</v>
      </c>
      <c r="I3205" t="n">
        <v>0.7856962653418014</v>
      </c>
      <c r="J3205" t="n">
        <v>0.0008463638251787</v>
      </c>
      <c r="K3205" t="n">
        <v>0.8886781718505644</v>
      </c>
      <c r="L3205" t="b">
        <v>0</v>
      </c>
      <c r="M3205" t="b">
        <v>0</v>
      </c>
      <c r="N3205" t="inlineStr">
        <is>
          <t>ref</t>
        </is>
      </c>
      <c r="O3205" t="n">
        <v>100</v>
      </c>
      <c r="P3205" t="n">
        <v>0.01364</v>
      </c>
      <c r="Q3205" t="n">
        <v>95</v>
      </c>
      <c r="R3205" t="n">
        <v>0.01587</v>
      </c>
      <c r="S3205">
        <f>IMAGE("https://mitra.stanford.edu/kundaje/oak/projects/neuro-variants/variant_position/credible/roussos_2024/variant_figures/roussos_2024.adolescence.Astrocyte/rs12501338_count_position.png",4,220,900)</f>
        <v/>
      </c>
      <c r="T3205">
        <f>IMAGE("https://mitra.stanford.edu/kundaje/oak/projects/neuro-variants/variant_position/credible/roussos_2024/variant_figures/roussos_2024.adolescence.Astrocyte/rs12501338_profile_position.png",4,220,900)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0.0304336963999999</v>
      </c>
      <c r="G3206" t="n">
        <v>0.4070299961832526</v>
      </c>
      <c r="H3206" t="n">
        <v>0.0263825709063037</v>
      </c>
      <c r="I3206" t="n">
        <v>0.0515839625288829</v>
      </c>
      <c r="J3206" t="n">
        <v>0.000458416164733</v>
      </c>
      <c r="K3206" t="n">
        <v>0.9221043961071222</v>
      </c>
      <c r="L3206" t="b">
        <v>0</v>
      </c>
      <c r="M3206" t="b">
        <v>0</v>
      </c>
      <c r="N3206" t="inlineStr">
        <is>
          <t>alt</t>
        </is>
      </c>
      <c r="O3206" t="n">
        <v>65</v>
      </c>
      <c r="P3206" t="n">
        <v>0.02386</v>
      </c>
      <c r="Q3206" t="n">
        <v>65</v>
      </c>
      <c r="R3206" t="n">
        <v>0.06604</v>
      </c>
      <c r="S3206">
        <f>IMAGE("https://mitra.stanford.edu/kundaje/oak/projects/neuro-variants/variant_position/credible/roussos_2024/variant_figures/roussos_2024.adolescence.Astrocyte/rs55875929_count_position.png",4,220,900)</f>
        <v/>
      </c>
      <c r="T3206">
        <f>IMAGE("https://mitra.stanford.edu/kundaje/oak/projects/neuro-variants/variant_position/credible/roussos_2024/variant_figures/roussos_2024.adolescence.Astrocyte/rs55875929_profile_position.png",4,220,900)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0.01298048504</v>
      </c>
      <c r="G3207" t="n">
        <v>0.6660790354783686</v>
      </c>
      <c r="H3207" t="n">
        <v>0.0091227262392972</v>
      </c>
      <c r="I3207" t="n">
        <v>0.8429389906311748</v>
      </c>
      <c r="J3207" t="n">
        <v>0.0004932795300121</v>
      </c>
      <c r="K3207" t="n">
        <v>0.911812644838488</v>
      </c>
      <c r="L3207" t="b">
        <v>0</v>
      </c>
      <c r="M3207" t="b">
        <v>0</v>
      </c>
      <c r="N3207" t="inlineStr">
        <is>
          <t>alt</t>
        </is>
      </c>
      <c r="O3207" t="n">
        <v>-70</v>
      </c>
      <c r="P3207" t="n">
        <v>0.02095</v>
      </c>
      <c r="Q3207" t="n">
        <v>90</v>
      </c>
      <c r="R3207" t="n">
        <v>0.06569999999999999</v>
      </c>
      <c r="S3207">
        <f>IMAGE("https://mitra.stanford.edu/kundaje/oak/projects/neuro-variants/variant_position/credible/roussos_2024/variant_figures/roussos_2024.adolescence.Astrocyte/rs55903810_count_position.png",4,220,900)</f>
        <v/>
      </c>
      <c r="T3207">
        <f>IMAGE("https://mitra.stanford.edu/kundaje/oak/projects/neuro-variants/variant_position/credible/roussos_2024/variant_figures/roussos_2024.adolescence.Astrocyte/rs55903810_profile_position.png",4,220,900)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0.0571346352</v>
      </c>
      <c r="G3208" t="n">
        <v>0.1921435004028914</v>
      </c>
      <c r="H3208" t="n">
        <v>0.014555140304603</v>
      </c>
      <c r="I3208" t="n">
        <v>0.3510643526114849</v>
      </c>
      <c r="J3208" t="n">
        <v>0.0091913182802717</v>
      </c>
      <c r="K3208" t="n">
        <v>0.6773980250885422</v>
      </c>
      <c r="L3208" t="b">
        <v>0</v>
      </c>
      <c r="M3208" t="b">
        <v>0</v>
      </c>
      <c r="N3208" t="inlineStr">
        <is>
          <t>alt</t>
        </is>
      </c>
      <c r="O3208" t="n">
        <v>95</v>
      </c>
      <c r="P3208" t="n">
        <v>0.004745</v>
      </c>
      <c r="Q3208" t="n">
        <v>15</v>
      </c>
      <c r="R3208" t="n">
        <v>0.0684</v>
      </c>
      <c r="S3208">
        <f>IMAGE("https://mitra.stanford.edu/kundaje/oak/projects/neuro-variants/variant_position/credible/roussos_2024/variant_figures/roussos_2024.adolescence.Astrocyte/rs17324506_count_position.png",4,220,900)</f>
        <v/>
      </c>
      <c r="T3208">
        <f>IMAGE("https://mitra.stanford.edu/kundaje/oak/projects/neuro-variants/variant_position/credible/roussos_2024/variant_figures/roussos_2024.adolescence.Astrocyte/rs17324506_profile_position.png",4,220,900)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0.047130124</v>
      </c>
      <c r="G3209" t="n">
        <v>0.2555374092903756</v>
      </c>
      <c r="H3209" t="n">
        <v>0.0138053620665403</v>
      </c>
      <c r="I3209" t="n">
        <v>0.4007353906160066</v>
      </c>
      <c r="J3209" t="n">
        <v>0.033386493783936</v>
      </c>
      <c r="K3209" t="n">
        <v>0.4939579183968185</v>
      </c>
      <c r="L3209" t="b">
        <v>0</v>
      </c>
      <c r="M3209" t="b">
        <v>0</v>
      </c>
      <c r="N3209" t="inlineStr">
        <is>
          <t>alt</t>
        </is>
      </c>
      <c r="O3209" t="n">
        <v>-10</v>
      </c>
      <c r="P3209" t="n">
        <v>0.000801</v>
      </c>
      <c r="Q3209" t="n">
        <v>-90</v>
      </c>
      <c r="R3209" t="n">
        <v>0.09719999999999999</v>
      </c>
      <c r="S3209">
        <f>IMAGE("https://mitra.stanford.edu/kundaje/oak/projects/neuro-variants/variant_position/credible/roussos_2024/variant_figures/roussos_2024.adolescence.Astrocyte/rs28753071_count_position.png",4,220,900)</f>
        <v/>
      </c>
      <c r="T3209">
        <f>IMAGE("https://mitra.stanford.edu/kundaje/oak/projects/neuro-variants/variant_position/credible/roussos_2024/variant_figures/roussos_2024.adolescence.Astrocyte/rs28753071_profile_position.png",4,220,900)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-0.142380892</v>
      </c>
      <c r="G3210" t="n">
        <v>0.0483606194513043</v>
      </c>
      <c r="H3210" t="n">
        <v>0.0285841952313105</v>
      </c>
      <c r="I3210" t="n">
        <v>0.0401462729139684</v>
      </c>
      <c r="J3210" t="n">
        <v>0.008185473103284499</v>
      </c>
      <c r="K3210" t="n">
        <v>0.7105070343256852</v>
      </c>
      <c r="L3210" t="b">
        <v>0</v>
      </c>
      <c r="M3210" t="b">
        <v>0</v>
      </c>
      <c r="N3210" t="inlineStr">
        <is>
          <t>ref</t>
        </is>
      </c>
      <c r="O3210" t="n">
        <v>-75</v>
      </c>
      <c r="P3210" t="n">
        <v>0.00203</v>
      </c>
      <c r="Q3210" t="n">
        <v>-75</v>
      </c>
      <c r="R3210" t="n">
        <v>0.1506</v>
      </c>
      <c r="S3210">
        <f>IMAGE("https://mitra.stanford.edu/kundaje/oak/projects/neuro-variants/variant_position/credible/roussos_2024/variant_figures/roussos_2024.adolescence.Astrocyte/rs7694547_count_position.png",4,220,900)</f>
        <v/>
      </c>
      <c r="T3210">
        <f>IMAGE("https://mitra.stanford.edu/kundaje/oak/projects/neuro-variants/variant_position/credible/roussos_2024/variant_figures/roussos_2024.adolescence.Astrocyte/rs7694547_profile_position.png",4,220,900)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0.0215607278</v>
      </c>
      <c r="G3211" t="n">
        <v>0.5038805934575498</v>
      </c>
      <c r="H3211" t="n">
        <v>0.009236053752059501</v>
      </c>
      <c r="I3211" t="n">
        <v>0.8345883596959621</v>
      </c>
      <c r="J3211" t="n">
        <v>0.0044224549743345</v>
      </c>
      <c r="K3211" t="n">
        <v>0.7534699460583167</v>
      </c>
      <c r="L3211" t="b">
        <v>0</v>
      </c>
      <c r="M3211" t="b">
        <v>0</v>
      </c>
      <c r="N3211" t="inlineStr">
        <is>
          <t>alt</t>
        </is>
      </c>
      <c r="O3211" t="n">
        <v>95</v>
      </c>
      <c r="P3211" t="n">
        <v>0.0153</v>
      </c>
      <c r="Q3211" t="n">
        <v>95</v>
      </c>
      <c r="R3211" t="n">
        <v>0.1377</v>
      </c>
      <c r="S3211">
        <f>IMAGE("https://mitra.stanford.edu/kundaje/oak/projects/neuro-variants/variant_position/credible/roussos_2024/variant_figures/roussos_2024.adolescence.Astrocyte/rs12501438_count_position.png",4,220,900)</f>
        <v/>
      </c>
      <c r="T3211">
        <f>IMAGE("https://mitra.stanford.edu/kundaje/oak/projects/neuro-variants/variant_position/credible/roussos_2024/variant_figures/roussos_2024.adolescence.Astrocyte/rs12501438_profile_position.png",4,220,900)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-0.1488647268</v>
      </c>
      <c r="G3212" t="n">
        <v>0.0508602580589549</v>
      </c>
      <c r="H3212" t="n">
        <v>0.0254169523041102</v>
      </c>
      <c r="I3212" t="n">
        <v>0.0702166993108117</v>
      </c>
      <c r="J3212" t="n">
        <v>0.0970418063673856</v>
      </c>
      <c r="K3212" t="n">
        <v>0.3332014827602665</v>
      </c>
      <c r="L3212" t="b">
        <v>0</v>
      </c>
      <c r="M3212" t="b">
        <v>0</v>
      </c>
      <c r="N3212" t="inlineStr">
        <is>
          <t>ref</t>
        </is>
      </c>
      <c r="O3212" t="n">
        <v>-85</v>
      </c>
      <c r="P3212" t="n">
        <v>0.02405</v>
      </c>
      <c r="Q3212" t="n">
        <v>-5</v>
      </c>
      <c r="R3212" t="n">
        <v>0.001526</v>
      </c>
      <c r="S3212">
        <f>IMAGE("https://mitra.stanford.edu/kundaje/oak/projects/neuro-variants/variant_position/credible/roussos_2024/variant_figures/roussos_2024.adolescence.Astrocyte/rs35751669_count_position.png",4,220,900)</f>
        <v/>
      </c>
      <c r="T3212">
        <f>IMAGE("https://mitra.stanford.edu/kundaje/oak/projects/neuro-variants/variant_position/credible/roussos_2024/variant_figures/roussos_2024.adolescence.Astrocyte/rs35751669_profile_position.png",4,220,900)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0.091354821</v>
      </c>
      <c r="G3213" t="n">
        <v>0.0908778988493419</v>
      </c>
      <c r="H3213" t="n">
        <v>0.0164015917660645</v>
      </c>
      <c r="I3213" t="n">
        <v>0.2524059829929805</v>
      </c>
      <c r="J3213" t="n">
        <v>0.2125916090555736</v>
      </c>
      <c r="K3213" t="n">
        <v>0.1938004093922595</v>
      </c>
      <c r="L3213" t="b">
        <v>0</v>
      </c>
      <c r="M3213" t="b">
        <v>0</v>
      </c>
      <c r="N3213" t="inlineStr">
        <is>
          <t>alt</t>
        </is>
      </c>
      <c r="O3213" t="n">
        <v>-70</v>
      </c>
      <c r="P3213" t="n">
        <v>0.01617</v>
      </c>
      <c r="Q3213" t="n">
        <v>-100</v>
      </c>
      <c r="R3213" t="n">
        <v>0.1123</v>
      </c>
      <c r="S3213">
        <f>IMAGE("https://mitra.stanford.edu/kundaje/oak/projects/neuro-variants/variant_position/credible/roussos_2024/variant_figures/roussos_2024.adolescence.Astrocyte/rs10462767_count_position.png",4,220,900)</f>
        <v/>
      </c>
      <c r="T3213">
        <f>IMAGE("https://mitra.stanford.edu/kundaje/oak/projects/neuro-variants/variant_position/credible/roussos_2024/variant_figures/roussos_2024.adolescence.Astrocyte/rs10462767_profile_position.png",4,220,900)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0.03091240894</v>
      </c>
      <c r="G3214" t="n">
        <v>0.3886111771899249</v>
      </c>
      <c r="H3214" t="n">
        <v>0.0169669772656957</v>
      </c>
      <c r="I3214" t="n">
        <v>0.2382081883183969</v>
      </c>
      <c r="J3214" t="n">
        <v>0.1682639527638488</v>
      </c>
      <c r="K3214" t="n">
        <v>0.2349867748576812</v>
      </c>
      <c r="L3214" t="b">
        <v>0</v>
      </c>
      <c r="M3214" t="b">
        <v>0</v>
      </c>
      <c r="N3214" t="inlineStr">
        <is>
          <t>alt</t>
        </is>
      </c>
      <c r="O3214" t="n">
        <v>-100</v>
      </c>
      <c r="P3214" t="n">
        <v>0.0645</v>
      </c>
      <c r="Q3214" t="n">
        <v>-60</v>
      </c>
      <c r="R3214" t="n">
        <v>0.2686</v>
      </c>
      <c r="S3214">
        <f>IMAGE("https://mitra.stanford.edu/kundaje/oak/projects/neuro-variants/variant_position/credible/roussos_2024/variant_figures/roussos_2024.adolescence.Astrocyte/rs13170639_count_position.png",4,220,900)</f>
        <v/>
      </c>
      <c r="T3214">
        <f>IMAGE("https://mitra.stanford.edu/kundaje/oak/projects/neuro-variants/variant_position/credible/roussos_2024/variant_figures/roussos_2024.adolescence.Astrocyte/rs13170639_profile_position.png",4,220,900)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-0.0605818604</v>
      </c>
      <c r="G3215" t="n">
        <v>0.1862627537561762</v>
      </c>
      <c r="H3215" t="n">
        <v>0.0156245089902406</v>
      </c>
      <c r="I3215" t="n">
        <v>0.2898563128875634</v>
      </c>
      <c r="J3215" t="n">
        <v>0.026594071744355</v>
      </c>
      <c r="K3215" t="n">
        <v>0.5376223490404246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0.01522</v>
      </c>
      <c r="Q3215" t="n">
        <v>-50</v>
      </c>
      <c r="R3215" t="n">
        <v>0.06976</v>
      </c>
      <c r="S3215">
        <f>IMAGE("https://mitra.stanford.edu/kundaje/oak/projects/neuro-variants/variant_position/credible/roussos_2024/variant_figures/roussos_2024.adolescence.Astrocyte/rs35533030_count_position.png",4,220,900)</f>
        <v/>
      </c>
      <c r="T3215">
        <f>IMAGE("https://mitra.stanford.edu/kundaje/oak/projects/neuro-variants/variant_position/credible/roussos_2024/variant_figures/roussos_2024.adolescence.Astrocyte/rs35533030_profile_position.png",4,220,900)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-0.0240151771</v>
      </c>
      <c r="G3216" t="n">
        <v>0.5110998055046596</v>
      </c>
      <c r="H3216" t="n">
        <v>0.0105907627656366</v>
      </c>
      <c r="I3216" t="n">
        <v>0.6711488723717817</v>
      </c>
      <c r="J3216" t="n">
        <v>3.857223392576328e-05</v>
      </c>
      <c r="K3216" t="n">
        <v>0.9961905357864864</v>
      </c>
      <c r="L3216" t="b">
        <v>0</v>
      </c>
      <c r="M3216" t="b">
        <v>0</v>
      </c>
      <c r="N3216" t="inlineStr">
        <is>
          <t>ref</t>
        </is>
      </c>
      <c r="O3216" t="n">
        <v>100</v>
      </c>
      <c r="P3216" t="n">
        <v>0.0911</v>
      </c>
      <c r="Q3216" t="n">
        <v>100</v>
      </c>
      <c r="R3216" t="n">
        <v>0.1456</v>
      </c>
      <c r="S3216">
        <f>IMAGE("https://mitra.stanford.edu/kundaje/oak/projects/neuro-variants/variant_position/credible/roussos_2024/variant_figures/roussos_2024.adolescence.Astrocyte/rs6885115_count_position.png",4,220,900)</f>
        <v/>
      </c>
      <c r="T3216">
        <f>IMAGE("https://mitra.stanford.edu/kundaje/oak/projects/neuro-variants/variant_position/credible/roussos_2024/variant_figures/roussos_2024.adolescence.Astrocyte/rs6885115_profile_position.png",4,220,900)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-0.0246871800008</v>
      </c>
      <c r="G3217" t="n">
        <v>0.4533480425466966</v>
      </c>
      <c r="H3217" t="n">
        <v>0.0164049159945825</v>
      </c>
      <c r="I3217" t="n">
        <v>0.2509034414372884</v>
      </c>
      <c r="J3217" t="n">
        <v>0.2887139127080675</v>
      </c>
      <c r="K3217" t="n">
        <v>0.1426516142814817</v>
      </c>
      <c r="L3217" t="b">
        <v>0</v>
      </c>
      <c r="M3217" t="b">
        <v>0</v>
      </c>
      <c r="N3217" t="inlineStr">
        <is>
          <t>ref</t>
        </is>
      </c>
      <c r="O3217" t="n">
        <v>-100</v>
      </c>
      <c r="P3217" t="n">
        <v>0.02365</v>
      </c>
      <c r="Q3217" t="n">
        <v>35</v>
      </c>
      <c r="R3217" t="n">
        <v>0.08203000000000001</v>
      </c>
      <c r="S3217">
        <f>IMAGE("https://mitra.stanford.edu/kundaje/oak/projects/neuro-variants/variant_position/credible/roussos_2024/variant_figures/roussos_2024.adolescence.Astrocyte/rs12514566_count_position.png",4,220,900)</f>
        <v/>
      </c>
      <c r="T3217">
        <f>IMAGE("https://mitra.stanford.edu/kundaje/oak/projects/neuro-variants/variant_position/credible/roussos_2024/variant_figures/roussos_2024.adolescence.Astrocyte/rs12514566_profile_position.png",4,220,900)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-0.0865926044</v>
      </c>
      <c r="G3218" t="n">
        <v>0.1060085252984364</v>
      </c>
      <c r="H3218" t="n">
        <v>0.0133409786472113</v>
      </c>
      <c r="I3218" t="n">
        <v>0.43279028655084</v>
      </c>
      <c r="J3218" t="n">
        <v>0.0004035249087617</v>
      </c>
      <c r="K3218" t="n">
        <v>0.9309797311322526</v>
      </c>
      <c r="L3218" t="b">
        <v>0</v>
      </c>
      <c r="M3218" t="b">
        <v>0</v>
      </c>
      <c r="N3218" t="inlineStr">
        <is>
          <t>ref</t>
        </is>
      </c>
      <c r="O3218" t="n">
        <v>65</v>
      </c>
      <c r="P3218" t="n">
        <v>0.00434</v>
      </c>
      <c r="Q3218" t="n">
        <v>5</v>
      </c>
      <c r="R3218" t="n">
        <v>0.00354</v>
      </c>
      <c r="S3218">
        <f>IMAGE("https://mitra.stanford.edu/kundaje/oak/projects/neuro-variants/variant_position/credible/roussos_2024/variant_figures/roussos_2024.adolescence.Astrocyte/rs2680786_count_position.png",4,220,900)</f>
        <v/>
      </c>
      <c r="T3218">
        <f>IMAGE("https://mitra.stanford.edu/kundaje/oak/projects/neuro-variants/variant_position/credible/roussos_2024/variant_figures/roussos_2024.adolescence.Astrocyte/rs2680786_profile_position.png",4,220,900)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0.00145807594</v>
      </c>
      <c r="G3219" t="n">
        <v>0.7309712844853462</v>
      </c>
      <c r="H3219" t="n">
        <v>0.0141031382776784</v>
      </c>
      <c r="I3219" t="n">
        <v>0.382879763874615</v>
      </c>
      <c r="J3219" t="n">
        <v>0.0903406224965136</v>
      </c>
      <c r="K3219" t="n">
        <v>0.3430619804237866</v>
      </c>
      <c r="L3219" t="b">
        <v>0</v>
      </c>
      <c r="M3219" t="b">
        <v>0</v>
      </c>
      <c r="N3219" t="inlineStr">
        <is>
          <t>alt</t>
        </is>
      </c>
      <c r="O3219" t="n">
        <v>55</v>
      </c>
      <c r="P3219" t="n">
        <v>0.006863</v>
      </c>
      <c r="Q3219" t="n">
        <v>10</v>
      </c>
      <c r="R3219" t="n">
        <v>0.037</v>
      </c>
      <c r="S3219">
        <f>IMAGE("https://mitra.stanford.edu/kundaje/oak/projects/neuro-variants/variant_position/credible/roussos_2024/variant_figures/roussos_2024.adolescence.Astrocyte/rs2680790_count_position.png",4,220,900)</f>
        <v/>
      </c>
      <c r="T3219">
        <f>IMAGE("https://mitra.stanford.edu/kundaje/oak/projects/neuro-variants/variant_position/credible/roussos_2024/variant_figures/roussos_2024.adolescence.Astrocyte/rs2680790_profile_position.png",4,220,900)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-0.0270623071</v>
      </c>
      <c r="G3220" t="n">
        <v>0.4677862297975033</v>
      </c>
      <c r="H3220" t="n">
        <v>0.0283334816940813</v>
      </c>
      <c r="I3220" t="n">
        <v>0.0391746546619112</v>
      </c>
      <c r="J3220" t="n">
        <v>0.07429086431474929</v>
      </c>
      <c r="K3220" t="n">
        <v>0.3728695970425238</v>
      </c>
      <c r="L3220" t="b">
        <v>0</v>
      </c>
      <c r="M3220" t="b">
        <v>0</v>
      </c>
      <c r="N3220" t="inlineStr">
        <is>
          <t>ref</t>
        </is>
      </c>
      <c r="O3220" t="n">
        <v>-75</v>
      </c>
      <c r="P3220" t="n">
        <v>0.003601</v>
      </c>
      <c r="Q3220" t="n">
        <v>40</v>
      </c>
      <c r="R3220" t="n">
        <v>0.08044</v>
      </c>
      <c r="S3220">
        <f>IMAGE("https://mitra.stanford.edu/kundaje/oak/projects/neuro-variants/variant_position/credible/roussos_2024/variant_figures/roussos_2024.adolescence.Astrocyte/rs2635639_count_position.png",4,220,900)</f>
        <v/>
      </c>
      <c r="T3220">
        <f>IMAGE("https://mitra.stanford.edu/kundaje/oak/projects/neuro-variants/variant_position/credible/roussos_2024/variant_figures/roussos_2024.adolescence.Astrocyte/rs2635639_profile_position.png",4,220,900)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0.05874261688</v>
      </c>
      <c r="G3221" t="n">
        <v>0.2049704361733543</v>
      </c>
      <c r="H3221" t="n">
        <v>0.0216813878101017</v>
      </c>
      <c r="I3221" t="n">
        <v>0.1053935269321328</v>
      </c>
      <c r="J3221" t="n">
        <v>0.1047080378601311</v>
      </c>
      <c r="K3221" t="n">
        <v>0.3149673461565679</v>
      </c>
      <c r="L3221" t="b">
        <v>0</v>
      </c>
      <c r="M3221" t="b">
        <v>0</v>
      </c>
      <c r="N3221" t="inlineStr">
        <is>
          <t>alt</t>
        </is>
      </c>
      <c r="O3221" t="n">
        <v>-30</v>
      </c>
      <c r="P3221" t="n">
        <v>0.003006</v>
      </c>
      <c r="Q3221" t="n">
        <v>-20</v>
      </c>
      <c r="R3221" t="n">
        <v>0.04224</v>
      </c>
      <c r="S3221">
        <f>IMAGE("https://mitra.stanford.edu/kundaje/oak/projects/neuro-variants/variant_position/credible/roussos_2024/variant_figures/roussos_2024.adolescence.Astrocyte/rs2680799_count_position.png",4,220,900)</f>
        <v/>
      </c>
      <c r="T3221">
        <f>IMAGE("https://mitra.stanford.edu/kundaje/oak/projects/neuro-variants/variant_position/credible/roussos_2024/variant_figures/roussos_2024.adolescence.Astrocyte/rs2680799_profile_position.png",4,220,900)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0.01826815984</v>
      </c>
      <c r="G3222" t="n">
        <v>0.4222858055092949</v>
      </c>
      <c r="H3222" t="n">
        <v>0.0193432782420188</v>
      </c>
      <c r="I3222" t="n">
        <v>0.1523889697539846</v>
      </c>
      <c r="J3222" t="n">
        <v>0.107632851674925</v>
      </c>
      <c r="K3222" t="n">
        <v>0.3116529333441425</v>
      </c>
      <c r="L3222" t="b">
        <v>0</v>
      </c>
      <c r="M3222" t="b">
        <v>0</v>
      </c>
      <c r="N3222" t="inlineStr">
        <is>
          <t>alt</t>
        </is>
      </c>
      <c r="O3222" t="n">
        <v>100</v>
      </c>
      <c r="P3222" t="n">
        <v>0.04416</v>
      </c>
      <c r="Q3222" t="n">
        <v>-60</v>
      </c>
      <c r="R3222" t="n">
        <v>0.1183</v>
      </c>
      <c r="S3222">
        <f>IMAGE("https://mitra.stanford.edu/kundaje/oak/projects/neuro-variants/variant_position/credible/roussos_2024/variant_figures/roussos_2024.adolescence.Astrocyte/rs2680800_count_position.png",4,220,900)</f>
        <v/>
      </c>
      <c r="T3222">
        <f>IMAGE("https://mitra.stanford.edu/kundaje/oak/projects/neuro-variants/variant_position/credible/roussos_2024/variant_figures/roussos_2024.adolescence.Astrocyte/rs2680800_profile_position.png",4,220,900)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0.122048326</v>
      </c>
      <c r="G3223" t="n">
        <v>0.0517095012623344</v>
      </c>
      <c r="H3223" t="n">
        <v>0.0157934488501461</v>
      </c>
      <c r="I3223" t="n">
        <v>0.2788368382341961</v>
      </c>
      <c r="J3223" t="n">
        <v>0.0219958163961664</v>
      </c>
      <c r="K3223" t="n">
        <v>0.5703143505743657</v>
      </c>
      <c r="L3223" t="b">
        <v>0</v>
      </c>
      <c r="M3223" t="b">
        <v>0</v>
      </c>
      <c r="N3223" t="inlineStr">
        <is>
          <t>alt</t>
        </is>
      </c>
      <c r="O3223" t="n">
        <v>100</v>
      </c>
      <c r="P3223" t="n">
        <v>0.01307</v>
      </c>
      <c r="Q3223" t="n">
        <v>45</v>
      </c>
      <c r="R3223" t="n">
        <v>0.09143</v>
      </c>
      <c r="S3223">
        <f>IMAGE("https://mitra.stanford.edu/kundaje/oak/projects/neuro-variants/variant_position/credible/roussos_2024/variant_figures/roussos_2024.adolescence.Astrocyte/rs2635642_count_position.png",4,220,900)</f>
        <v/>
      </c>
      <c r="T3223">
        <f>IMAGE("https://mitra.stanford.edu/kundaje/oak/projects/neuro-variants/variant_position/credible/roussos_2024/variant_figures/roussos_2024.adolescence.Astrocyte/rs2635642_profile_position.png",4,220,900)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-0.01724593244</v>
      </c>
      <c r="G3224" t="n">
        <v>0.5994186695041841</v>
      </c>
      <c r="H3224" t="n">
        <v>0.0076395433426603</v>
      </c>
      <c r="I3224" t="n">
        <v>0.9443236455529296</v>
      </c>
      <c r="J3224" t="n">
        <v>0.0003508589739785</v>
      </c>
      <c r="K3224" t="n">
        <v>0.934628055409287</v>
      </c>
      <c r="L3224" t="b">
        <v>0</v>
      </c>
      <c r="M3224" t="b">
        <v>0</v>
      </c>
      <c r="N3224" t="inlineStr">
        <is>
          <t>ref</t>
        </is>
      </c>
      <c r="O3224" t="n">
        <v>-100</v>
      </c>
      <c r="P3224" t="n">
        <v>0.02057</v>
      </c>
      <c r="Q3224" t="n">
        <v>55</v>
      </c>
      <c r="R3224" t="n">
        <v>0.1129</v>
      </c>
      <c r="S3224">
        <f>IMAGE("https://mitra.stanford.edu/kundaje/oak/projects/neuro-variants/variant_position/credible/roussos_2024/variant_figures/roussos_2024.adolescence.Astrocyte/rs2680803_count_position.png",4,220,900)</f>
        <v/>
      </c>
      <c r="T3224">
        <f>IMAGE("https://mitra.stanford.edu/kundaje/oak/projects/neuro-variants/variant_position/credible/roussos_2024/variant_figures/roussos_2024.adolescence.Astrocyte/rs2680803_profile_position.png",4,220,900)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-0.00594784692</v>
      </c>
      <c r="G3225" t="n">
        <v>0.4501321240404152</v>
      </c>
      <c r="H3225" t="n">
        <v>0.0102676254454725</v>
      </c>
      <c r="I3225" t="n">
        <v>0.7209896461122077</v>
      </c>
      <c r="J3225" t="n">
        <v>0.0042080823665548</v>
      </c>
      <c r="K3225" t="n">
        <v>0.7795594475001197</v>
      </c>
      <c r="L3225" t="b">
        <v>0</v>
      </c>
      <c r="M3225" t="b">
        <v>0</v>
      </c>
      <c r="N3225" t="inlineStr">
        <is>
          <t>ref</t>
        </is>
      </c>
      <c r="O3225" t="n">
        <v>-100</v>
      </c>
      <c r="P3225" t="n">
        <v>0.00903</v>
      </c>
      <c r="Q3225" t="n">
        <v>-60</v>
      </c>
      <c r="R3225" t="n">
        <v>0.1302</v>
      </c>
      <c r="S3225">
        <f>IMAGE("https://mitra.stanford.edu/kundaje/oak/projects/neuro-variants/variant_position/credible/roussos_2024/variant_figures/roussos_2024.adolescence.Astrocyte/rs75819762_count_position.png",4,220,900)</f>
        <v/>
      </c>
      <c r="T3225">
        <f>IMAGE("https://mitra.stanford.edu/kundaje/oak/projects/neuro-variants/variant_position/credible/roussos_2024/variant_figures/roussos_2024.adolescence.Astrocyte/rs75819762_profile_position.png",4,220,900)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0.241940908</v>
      </c>
      <c r="G3226" t="n">
        <v>0.0116637398816801</v>
      </c>
      <c r="H3226" t="n">
        <v>0.0253699821900152</v>
      </c>
      <c r="I3226" t="n">
        <v>0.0612717238778759</v>
      </c>
      <c r="J3226" t="n">
        <v>0.380984630448328</v>
      </c>
      <c r="K3226" t="n">
        <v>0.09602117548992919</v>
      </c>
      <c r="L3226" t="b">
        <v>1</v>
      </c>
      <c r="M3226" t="b">
        <v>0</v>
      </c>
      <c r="N3226" t="inlineStr">
        <is>
          <t>alt</t>
        </is>
      </c>
      <c r="O3226" t="n">
        <v>20</v>
      </c>
      <c r="P3226" t="n">
        <v>0.003845</v>
      </c>
      <c r="Q3226" t="n">
        <v>50</v>
      </c>
      <c r="R3226" t="n">
        <v>0.1602</v>
      </c>
      <c r="S3226">
        <f>IMAGE("https://mitra.stanford.edu/kundaje/oak/projects/neuro-variants/variant_position/credible/roussos_2024/variant_figures/roussos_2024.adolescence.Astrocyte/rs1862574_count_position.png",4,220,900)</f>
        <v/>
      </c>
      <c r="T3226">
        <f>IMAGE("https://mitra.stanford.edu/kundaje/oak/projects/neuro-variants/variant_position/credible/roussos_2024/variant_figures/roussos_2024.adolescence.Astrocyte/rs1862574_profile_position.png",4,220,900)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0.02219766414</v>
      </c>
      <c r="G3227" t="n">
        <v>0.3582236952183432</v>
      </c>
      <c r="H3227" t="n">
        <v>0.012894133300149</v>
      </c>
      <c r="I3227" t="n">
        <v>0.4623756816664174</v>
      </c>
      <c r="J3227" t="n">
        <v>0.6554728065750824</v>
      </c>
      <c r="K3227" t="n">
        <v>0.0242199435302023</v>
      </c>
      <c r="L3227" t="b">
        <v>0</v>
      </c>
      <c r="M3227" t="b">
        <v>0</v>
      </c>
      <c r="N3227" t="inlineStr">
        <is>
          <t>alt</t>
        </is>
      </c>
      <c r="O3227" t="n">
        <v>-100</v>
      </c>
      <c r="P3227" t="n">
        <v>0.01327</v>
      </c>
      <c r="Q3227" t="n">
        <v>-45</v>
      </c>
      <c r="R3227" t="n">
        <v>0.1355</v>
      </c>
      <c r="S3227">
        <f>IMAGE("https://mitra.stanford.edu/kundaje/oak/projects/neuro-variants/variant_position/credible/roussos_2024/variant_figures/roussos_2024.adolescence.Astrocyte/rs2973038_count_position.png",4,220,900)</f>
        <v/>
      </c>
      <c r="T3227">
        <f>IMAGE("https://mitra.stanford.edu/kundaje/oak/projects/neuro-variants/variant_position/credible/roussos_2024/variant_figures/roussos_2024.adolescence.Astrocyte/rs2973038_profile_position.png",4,220,900)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0.0657319676</v>
      </c>
      <c r="G3228" t="n">
        <v>0.1749492805620072</v>
      </c>
      <c r="H3228" t="n">
        <v>0.0209755287053303</v>
      </c>
      <c r="I3228" t="n">
        <v>0.1223074608561333</v>
      </c>
      <c r="J3228" t="n">
        <v>0.0070891315313176</v>
      </c>
      <c r="K3228" t="n">
        <v>0.7363694107018592</v>
      </c>
      <c r="L3228" t="b">
        <v>0</v>
      </c>
      <c r="M3228" t="b">
        <v>0</v>
      </c>
      <c r="N3228" t="inlineStr">
        <is>
          <t>alt</t>
        </is>
      </c>
      <c r="O3228" t="n">
        <v>95</v>
      </c>
      <c r="P3228" t="n">
        <v>0.01822</v>
      </c>
      <c r="Q3228" t="n">
        <v>100</v>
      </c>
      <c r="R3228" t="n">
        <v>0.1466</v>
      </c>
      <c r="S3228">
        <f>IMAGE("https://mitra.stanford.edu/kundaje/oak/projects/neuro-variants/variant_position/credible/roussos_2024/variant_figures/roussos_2024.adolescence.Astrocyte/rs7702731_count_position.png",4,220,900)</f>
        <v/>
      </c>
      <c r="T3228">
        <f>IMAGE("https://mitra.stanford.edu/kundaje/oak/projects/neuro-variants/variant_position/credible/roussos_2024/variant_figures/roussos_2024.adolescence.Astrocyte/rs7702731_profile_position.png",4,220,900)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-0.0009366965999999</v>
      </c>
      <c r="G3229" t="n">
        <v>0.877985154917208</v>
      </c>
      <c r="H3229" t="n">
        <v>0.0300281423812373</v>
      </c>
      <c r="I3229" t="n">
        <v>0.0309886884934028</v>
      </c>
      <c r="J3229" t="n">
        <v>0.0006542444292792</v>
      </c>
      <c r="K3229" t="n">
        <v>0.8986447055202216</v>
      </c>
      <c r="L3229" t="b">
        <v>0</v>
      </c>
      <c r="M3229" t="b">
        <v>0</v>
      </c>
      <c r="N3229" t="inlineStr">
        <is>
          <t>ref</t>
        </is>
      </c>
      <c r="O3229" t="n">
        <v>-85</v>
      </c>
      <c r="P3229" t="n">
        <v>0.01862</v>
      </c>
      <c r="Q3229" t="n">
        <v>80</v>
      </c>
      <c r="R3229" t="n">
        <v>0.05957</v>
      </c>
      <c r="S3229">
        <f>IMAGE("https://mitra.stanford.edu/kundaje/oak/projects/neuro-variants/variant_position/credible/roussos_2024/variant_figures/roussos_2024.adolescence.Astrocyte/rs11738503_count_position.png",4,220,900)</f>
        <v/>
      </c>
      <c r="T3229">
        <f>IMAGE("https://mitra.stanford.edu/kundaje/oak/projects/neuro-variants/variant_position/credible/roussos_2024/variant_figures/roussos_2024.adolescence.Astrocyte/rs11738503_profile_position.png",4,220,900)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-0.0116122978599999</v>
      </c>
      <c r="G3230" t="n">
        <v>0.5851688147958659</v>
      </c>
      <c r="H3230" t="n">
        <v>0.0084741536244957</v>
      </c>
      <c r="I3230" t="n">
        <v>0.9027274833770484</v>
      </c>
      <c r="J3230" t="n">
        <v>0.0159058540782719</v>
      </c>
      <c r="K3230" t="n">
        <v>0.6082010329277842</v>
      </c>
      <c r="L3230" t="b">
        <v>0</v>
      </c>
      <c r="M3230" t="b">
        <v>0</v>
      </c>
      <c r="N3230" t="inlineStr">
        <is>
          <t>ref</t>
        </is>
      </c>
      <c r="O3230" t="n">
        <v>100</v>
      </c>
      <c r="P3230" t="n">
        <v>0.006012</v>
      </c>
      <c r="Q3230" t="n">
        <v>30</v>
      </c>
      <c r="R3230" t="n">
        <v>0.042</v>
      </c>
      <c r="S3230">
        <f>IMAGE("https://mitra.stanford.edu/kundaje/oak/projects/neuro-variants/variant_position/credible/roussos_2024/variant_figures/roussos_2024.adolescence.Astrocyte/rs138471599_count_position.png",4,220,900)</f>
        <v/>
      </c>
      <c r="T3230">
        <f>IMAGE("https://mitra.stanford.edu/kundaje/oak/projects/neuro-variants/variant_position/credible/roussos_2024/variant_figures/roussos_2024.adolescence.Astrocyte/rs138471599_profile_position.png",4,220,900)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0.0389795406</v>
      </c>
      <c r="G3231" t="n">
        <v>0.3199120779813481</v>
      </c>
      <c r="H3231" t="n">
        <v>0.0121649902403021</v>
      </c>
      <c r="I3231" t="n">
        <v>0.5379420224669225</v>
      </c>
      <c r="J3231" t="n">
        <v>0.008362015250867799</v>
      </c>
      <c r="K3231" t="n">
        <v>0.6790193600171204</v>
      </c>
      <c r="L3231" t="b">
        <v>0</v>
      </c>
      <c r="M3231" t="b">
        <v>0</v>
      </c>
      <c r="N3231" t="inlineStr">
        <is>
          <t>alt</t>
        </is>
      </c>
      <c r="O3231" t="n">
        <v>-80</v>
      </c>
      <c r="P3231" t="n">
        <v>0.007446</v>
      </c>
      <c r="Q3231" t="n">
        <v>-100</v>
      </c>
      <c r="R3231" t="n">
        <v>0.0805</v>
      </c>
      <c r="S3231">
        <f>IMAGE("https://mitra.stanford.edu/kundaje/oak/projects/neuro-variants/variant_position/credible/roussos_2024/variant_figures/roussos_2024.adolescence.Astrocyte/rs245412_count_position.png",4,220,900)</f>
        <v/>
      </c>
      <c r="T3231">
        <f>IMAGE("https://mitra.stanford.edu/kundaje/oak/projects/neuro-variants/variant_position/credible/roussos_2024/variant_figures/roussos_2024.adolescence.Astrocyte/rs245412_profile_position.png",4,220,900)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-0.13161195</v>
      </c>
      <c r="G3232" t="n">
        <v>0.0465332040349284</v>
      </c>
      <c r="H3232" t="n">
        <v>0.0146023119691359</v>
      </c>
      <c r="I3232" t="n">
        <v>0.3451202391689906</v>
      </c>
      <c r="J3232" t="n">
        <v>0.0060283950983591</v>
      </c>
      <c r="K3232" t="n">
        <v>0.7422613394645671</v>
      </c>
      <c r="L3232" t="b">
        <v>0</v>
      </c>
      <c r="M3232" t="b">
        <v>0</v>
      </c>
      <c r="N3232" t="inlineStr">
        <is>
          <t>ref</t>
        </is>
      </c>
      <c r="O3232" t="n">
        <v>-100</v>
      </c>
      <c r="P3232" t="n">
        <v>0.0069</v>
      </c>
      <c r="Q3232" t="n">
        <v>-35</v>
      </c>
      <c r="R3232" t="n">
        <v>0.1565</v>
      </c>
      <c r="S3232">
        <f>IMAGE("https://mitra.stanford.edu/kundaje/oak/projects/neuro-variants/variant_position/credible/roussos_2024/variant_figures/roussos_2024.adolescence.Astrocyte/rs151893_count_position.png",4,220,900)</f>
        <v/>
      </c>
      <c r="T3232">
        <f>IMAGE("https://mitra.stanford.edu/kundaje/oak/projects/neuro-variants/variant_position/credible/roussos_2024/variant_figures/roussos_2024.adolescence.Astrocyte/rs151893_profile_position.png",4,220,900)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-0.0396884186</v>
      </c>
      <c r="G3233" t="n">
        <v>0.3495509629006952</v>
      </c>
      <c r="H3233" t="n">
        <v>0.0160836254371504</v>
      </c>
      <c r="I3233" t="n">
        <v>0.267396154444243</v>
      </c>
      <c r="J3233" t="n">
        <v>0.0034685339584012</v>
      </c>
      <c r="K3233" t="n">
        <v>0.7800377575297509</v>
      </c>
      <c r="L3233" t="b">
        <v>0</v>
      </c>
      <c r="M3233" t="b">
        <v>0</v>
      </c>
      <c r="N3233" t="inlineStr">
        <is>
          <t>ref</t>
        </is>
      </c>
      <c r="O3233" t="n">
        <v>45</v>
      </c>
      <c r="P3233" t="n">
        <v>0.00261</v>
      </c>
      <c r="Q3233" t="n">
        <v>-60</v>
      </c>
      <c r="R3233" t="n">
        <v>0.06365999999999999</v>
      </c>
      <c r="S3233">
        <f>IMAGE("https://mitra.stanford.edu/kundaje/oak/projects/neuro-variants/variant_position/credible/roussos_2024/variant_figures/roussos_2024.adolescence.Astrocyte/rs158280_count_position.png",4,220,900)</f>
        <v/>
      </c>
      <c r="T3233">
        <f>IMAGE("https://mitra.stanford.edu/kundaje/oak/projects/neuro-variants/variant_position/credible/roussos_2024/variant_figures/roussos_2024.adolescence.Astrocyte/rs158280_profile_position.png",4,220,900)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-0.0026546932</v>
      </c>
      <c r="G3234" t="n">
        <v>0.1789502845707366</v>
      </c>
      <c r="H3234" t="n">
        <v>0.0114146081597675</v>
      </c>
      <c r="I3234" t="n">
        <v>0.596222379447098</v>
      </c>
      <c r="J3234" t="n">
        <v>0.0022305136041301</v>
      </c>
      <c r="K3234" t="n">
        <v>0.8222788800062574</v>
      </c>
      <c r="L3234" t="b">
        <v>0</v>
      </c>
      <c r="M3234" t="b">
        <v>0</v>
      </c>
      <c r="N3234" t="inlineStr">
        <is>
          <t>ref</t>
        </is>
      </c>
      <c r="O3234" t="n">
        <v>100</v>
      </c>
      <c r="P3234" t="n">
        <v>0.009889999999999999</v>
      </c>
      <c r="Q3234" t="n">
        <v>-100</v>
      </c>
      <c r="R3234" t="n">
        <v>0.181</v>
      </c>
      <c r="S3234">
        <f>IMAGE("https://mitra.stanford.edu/kundaje/oak/projects/neuro-variants/variant_position/credible/roussos_2024/variant_figures/roussos_2024.adolescence.Astrocyte/rs832636_count_position.png",4,220,900)</f>
        <v/>
      </c>
      <c r="T3234">
        <f>IMAGE("https://mitra.stanford.edu/kundaje/oak/projects/neuro-variants/variant_position/credible/roussos_2024/variant_figures/roussos_2024.adolescence.Astrocyte/rs832636_profile_position.png",4,220,900)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-0.0273569339399999</v>
      </c>
      <c r="G3235" t="n">
        <v>0.1968076496270605</v>
      </c>
      <c r="H3235" t="n">
        <v>0.0150116963262165</v>
      </c>
      <c r="I3235" t="n">
        <v>0.328819629853075</v>
      </c>
      <c r="J3235" t="n">
        <v>0.1779292644571699</v>
      </c>
      <c r="K3235" t="n">
        <v>0.2250088418107281</v>
      </c>
      <c r="L3235" t="b">
        <v>0</v>
      </c>
      <c r="M3235" t="b">
        <v>0</v>
      </c>
      <c r="N3235" t="inlineStr">
        <is>
          <t>ref</t>
        </is>
      </c>
      <c r="O3235" t="n">
        <v>100</v>
      </c>
      <c r="P3235" t="n">
        <v>0.01016</v>
      </c>
      <c r="Q3235" t="n">
        <v>35</v>
      </c>
      <c r="R3235" t="n">
        <v>0.0674</v>
      </c>
      <c r="S3235">
        <f>IMAGE("https://mitra.stanford.edu/kundaje/oak/projects/neuro-variants/variant_position/credible/roussos_2024/variant_figures/roussos_2024.adolescence.Astrocyte/rs12153002_count_position.png",4,220,900)</f>
        <v/>
      </c>
      <c r="T3235">
        <f>IMAGE("https://mitra.stanford.edu/kundaje/oak/projects/neuro-variants/variant_position/credible/roussos_2024/variant_figures/roussos_2024.adolescence.Astrocyte/rs12153002_profile_position.png",4,220,900)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-0.01880580996</v>
      </c>
      <c r="G3236" t="n">
        <v>0.5851582858774429</v>
      </c>
      <c r="H3236" t="n">
        <v>0.0302503760904791</v>
      </c>
      <c r="I3236" t="n">
        <v>0.0307523631508671</v>
      </c>
      <c r="J3236" t="n">
        <v>0.0010036198557991</v>
      </c>
      <c r="K3236" t="n">
        <v>0.8773797977003375</v>
      </c>
      <c r="L3236" t="b">
        <v>0</v>
      </c>
      <c r="M3236" t="b">
        <v>0</v>
      </c>
      <c r="N3236" t="inlineStr">
        <is>
          <t>ref</t>
        </is>
      </c>
      <c r="O3236" t="n">
        <v>75</v>
      </c>
      <c r="P3236" t="n">
        <v>0.02246</v>
      </c>
      <c r="Q3236" t="n">
        <v>-50</v>
      </c>
      <c r="R3236" t="n">
        <v>0.1036</v>
      </c>
      <c r="S3236">
        <f>IMAGE("https://mitra.stanford.edu/kundaje/oak/projects/neuro-variants/variant_position/credible/roussos_2024/variant_figures/roussos_2024.adolescence.Astrocyte/rs117702129_count_position.png",4,220,900)</f>
        <v/>
      </c>
      <c r="T3236">
        <f>IMAGE("https://mitra.stanford.edu/kundaje/oak/projects/neuro-variants/variant_position/credible/roussos_2024/variant_figures/roussos_2024.adolescence.Astrocyte/rs117702129_profile_position.png",4,220,900)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-0.0208226621999999</v>
      </c>
      <c r="G3237" t="n">
        <v>0.4900133849476369</v>
      </c>
      <c r="H3237" t="n">
        <v>0.0131167992910472</v>
      </c>
      <c r="I3237" t="n">
        <v>0.4478740211584857</v>
      </c>
      <c r="J3237" t="n">
        <v>0.0006750140937008</v>
      </c>
      <c r="K3237" t="n">
        <v>0.907970730087178</v>
      </c>
      <c r="L3237" t="b">
        <v>0</v>
      </c>
      <c r="M3237" t="b">
        <v>0</v>
      </c>
      <c r="N3237" t="inlineStr">
        <is>
          <t>ref</t>
        </is>
      </c>
      <c r="O3237" t="n">
        <v>55</v>
      </c>
      <c r="P3237" t="n">
        <v>0.01917</v>
      </c>
      <c r="Q3237" t="n">
        <v>-40</v>
      </c>
      <c r="R3237" t="n">
        <v>0.06616</v>
      </c>
      <c r="S3237">
        <f>IMAGE("https://mitra.stanford.edu/kundaje/oak/projects/neuro-variants/variant_position/credible/roussos_2024/variant_figures/roussos_2024.adolescence.Astrocyte/rs171748_count_position.png",4,220,900)</f>
        <v/>
      </c>
      <c r="T3237">
        <f>IMAGE("https://mitra.stanford.edu/kundaje/oak/projects/neuro-variants/variant_position/credible/roussos_2024/variant_figures/roussos_2024.adolescence.Astrocyte/rs171748_profile_position.png",4,220,900)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-0.0250673706199999</v>
      </c>
      <c r="G3238" t="n">
        <v>0.4903486352431294</v>
      </c>
      <c r="H3238" t="n">
        <v>0.024860988771079</v>
      </c>
      <c r="I3238" t="n">
        <v>0.0642446242505698</v>
      </c>
      <c r="J3238" t="n">
        <v>0.0004598997121917</v>
      </c>
      <c r="K3238" t="n">
        <v>0.9432912602371484</v>
      </c>
      <c r="L3238" t="b">
        <v>0</v>
      </c>
      <c r="M3238" t="b">
        <v>0</v>
      </c>
      <c r="N3238" t="inlineStr">
        <is>
          <t>ref</t>
        </is>
      </c>
      <c r="O3238" t="n">
        <v>100</v>
      </c>
      <c r="P3238" t="n">
        <v>0.01978</v>
      </c>
      <c r="Q3238" t="n">
        <v>100</v>
      </c>
      <c r="R3238" t="n">
        <v>0.1575</v>
      </c>
      <c r="S3238">
        <f>IMAGE("https://mitra.stanford.edu/kundaje/oak/projects/neuro-variants/variant_position/credible/roussos_2024/variant_figures/roussos_2024.adolescence.Astrocyte/rs177114_count_position.png",4,220,900)</f>
        <v/>
      </c>
      <c r="T3238">
        <f>IMAGE("https://mitra.stanford.edu/kundaje/oak/projects/neuro-variants/variant_position/credible/roussos_2024/variant_figures/roussos_2024.adolescence.Astrocyte/rs177114_profile_position.png",4,220,900)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-0.00628255994</v>
      </c>
      <c r="G3239" t="n">
        <v>0.7721679577690094</v>
      </c>
      <c r="H3239" t="n">
        <v>0.0116854631409346</v>
      </c>
      <c r="I3239" t="n">
        <v>0.5769833327201324</v>
      </c>
      <c r="J3239" t="n">
        <v>0.0051627451562175</v>
      </c>
      <c r="K3239" t="n">
        <v>0.7441805622967426</v>
      </c>
      <c r="L3239" t="b">
        <v>0</v>
      </c>
      <c r="M3239" t="b">
        <v>0</v>
      </c>
      <c r="N3239" t="inlineStr">
        <is>
          <t>ref</t>
        </is>
      </c>
      <c r="O3239" t="n">
        <v>-100</v>
      </c>
      <c r="P3239" t="n">
        <v>0.02216</v>
      </c>
      <c r="Q3239" t="n">
        <v>100</v>
      </c>
      <c r="R3239" t="n">
        <v>0.0465</v>
      </c>
      <c r="S3239">
        <f>IMAGE("https://mitra.stanford.edu/kundaje/oak/projects/neuro-variants/variant_position/credible/roussos_2024/variant_figures/roussos_2024.adolescence.Astrocyte/rs476099_count_position.png",4,220,900)</f>
        <v/>
      </c>
      <c r="T3239">
        <f>IMAGE("https://mitra.stanford.edu/kundaje/oak/projects/neuro-variants/variant_position/credible/roussos_2024/variant_figures/roussos_2024.adolescence.Astrocyte/rs476099_profile_position.png",4,220,900)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-0.057299351</v>
      </c>
      <c r="G3240" t="n">
        <v>0.2197130748112246</v>
      </c>
      <c r="H3240" t="n">
        <v>0.0130750631640247</v>
      </c>
      <c r="I3240" t="n">
        <v>0.4609555288826483</v>
      </c>
      <c r="J3240" t="n">
        <v>0.0002640714476455</v>
      </c>
      <c r="K3240" t="n">
        <v>0.970887082536444</v>
      </c>
      <c r="L3240" t="b">
        <v>0</v>
      </c>
      <c r="M3240" t="b">
        <v>0</v>
      </c>
      <c r="N3240" t="inlineStr">
        <is>
          <t>ref</t>
        </is>
      </c>
      <c r="O3240" t="n">
        <v>-5</v>
      </c>
      <c r="P3240" t="n">
        <v>0.001374</v>
      </c>
      <c r="Q3240" t="n">
        <v>-20</v>
      </c>
      <c r="R3240" t="n">
        <v>0.0757</v>
      </c>
      <c r="S3240">
        <f>IMAGE("https://mitra.stanford.edu/kundaje/oak/projects/neuro-variants/variant_position/credible/roussos_2024/variant_figures/roussos_2024.adolescence.Astrocyte/rs192070971_count_position.png",4,220,900)</f>
        <v/>
      </c>
      <c r="T3240">
        <f>IMAGE("https://mitra.stanford.edu/kundaje/oak/projects/neuro-variants/variant_position/credible/roussos_2024/variant_figures/roussos_2024.adolescence.Astrocyte/rs192070971_profile_position.png",4,220,900)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-0.0256834822</v>
      </c>
      <c r="G3241" t="n">
        <v>0.4307922476979569</v>
      </c>
      <c r="H3241" t="n">
        <v>0.0377937902523309</v>
      </c>
      <c r="I3241" t="n">
        <v>0.012777257608183</v>
      </c>
      <c r="J3241" t="n">
        <v>0.0403228199270094</v>
      </c>
      <c r="K3241" t="n">
        <v>0.4707909118865698</v>
      </c>
      <c r="L3241" t="b">
        <v>1</v>
      </c>
      <c r="M3241" t="b">
        <v>0</v>
      </c>
      <c r="N3241" t="inlineStr">
        <is>
          <t>ref</t>
        </is>
      </c>
      <c r="O3241" t="n">
        <v>10</v>
      </c>
      <c r="P3241" t="n">
        <v>0.001648</v>
      </c>
      <c r="Q3241" t="n">
        <v>-100</v>
      </c>
      <c r="R3241" t="n">
        <v>0.1218</v>
      </c>
      <c r="S3241">
        <f>IMAGE("https://mitra.stanford.edu/kundaje/oak/projects/neuro-variants/variant_position/credible/roussos_2024/variant_figures/roussos_2024.adolescence.Astrocyte/rs10939891_count_position.png",4,220,900)</f>
        <v/>
      </c>
      <c r="T3241">
        <f>IMAGE("https://mitra.stanford.edu/kundaje/oak/projects/neuro-variants/variant_position/credible/roussos_2024/variant_figures/roussos_2024.adolescence.Astrocyte/rs10939891_profile_position.png",4,220,900)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-0.0454248785999999</v>
      </c>
      <c r="G3242" t="n">
        <v>0.2705807569665019</v>
      </c>
      <c r="H3242" t="n">
        <v>0.0137558776945897</v>
      </c>
      <c r="I3242" t="n">
        <v>0.4070819359471387</v>
      </c>
      <c r="J3242" t="n">
        <v>0.1364759813666438</v>
      </c>
      <c r="K3242" t="n">
        <v>0.272156002546786</v>
      </c>
      <c r="L3242" t="b">
        <v>0</v>
      </c>
      <c r="M3242" t="b">
        <v>0</v>
      </c>
      <c r="N3242" t="inlineStr">
        <is>
          <t>ref</t>
        </is>
      </c>
      <c r="O3242" t="n">
        <v>35</v>
      </c>
      <c r="P3242" t="n">
        <v>0.002285</v>
      </c>
      <c r="Q3242" t="n">
        <v>-50</v>
      </c>
      <c r="R3242" t="n">
        <v>0.0658</v>
      </c>
      <c r="S3242">
        <f>IMAGE("https://mitra.stanford.edu/kundaje/oak/projects/neuro-variants/variant_position/credible/roussos_2024/variant_figures/roussos_2024.adolescence.Astrocyte/rs11949390_count_position.png",4,220,900)</f>
        <v/>
      </c>
      <c r="T3242">
        <f>IMAGE("https://mitra.stanford.edu/kundaje/oak/projects/neuro-variants/variant_position/credible/roussos_2024/variant_figures/roussos_2024.adolescence.Astrocyte/rs11949390_profile_position.png",4,220,900)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0.00207462502</v>
      </c>
      <c r="G3243" t="n">
        <v>0.6898761461733713</v>
      </c>
      <c r="H3243" t="n">
        <v>0.009085715727423701</v>
      </c>
      <c r="I3243" t="n">
        <v>0.8245118778010433</v>
      </c>
      <c r="J3243" t="n">
        <v>0.0190272379313413</v>
      </c>
      <c r="K3243" t="n">
        <v>0.5809234352100663</v>
      </c>
      <c r="L3243" t="b">
        <v>0</v>
      </c>
      <c r="M3243" t="b">
        <v>0</v>
      </c>
      <c r="N3243" t="inlineStr">
        <is>
          <t>alt</t>
        </is>
      </c>
      <c r="O3243" t="n">
        <v>45</v>
      </c>
      <c r="P3243" t="n">
        <v>0.04108</v>
      </c>
      <c r="Q3243" t="n">
        <v>85</v>
      </c>
      <c r="R3243" t="n">
        <v>0.1626</v>
      </c>
      <c r="S3243">
        <f>IMAGE("https://mitra.stanford.edu/kundaje/oak/projects/neuro-variants/variant_position/credible/roussos_2024/variant_figures/roussos_2024.adolescence.Astrocyte/rs10939894_count_position.png",4,220,900)</f>
        <v/>
      </c>
      <c r="T3243">
        <f>IMAGE("https://mitra.stanford.edu/kundaje/oak/projects/neuro-variants/variant_position/credible/roussos_2024/variant_figures/roussos_2024.adolescence.Astrocyte/rs10939894_profile_position.png",4,220,900)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-0.1407017584</v>
      </c>
      <c r="G3244" t="n">
        <v>0.0541007795578524</v>
      </c>
      <c r="H3244" t="n">
        <v>0.0531419813879099</v>
      </c>
      <c r="I3244" t="n">
        <v>0.0043176385029038</v>
      </c>
      <c r="J3244" t="n">
        <v>0.0858202533899059</v>
      </c>
      <c r="K3244" t="n">
        <v>0.3513243803182718</v>
      </c>
      <c r="L3244" t="b">
        <v>1</v>
      </c>
      <c r="M3244" t="b">
        <v>1</v>
      </c>
      <c r="N3244" t="inlineStr">
        <is>
          <t>ref</t>
        </is>
      </c>
      <c r="O3244" t="n">
        <v>100</v>
      </c>
      <c r="P3244" t="n">
        <v>0.01236</v>
      </c>
      <c r="Q3244" t="n">
        <v>70</v>
      </c>
      <c r="R3244" t="n">
        <v>0.3003</v>
      </c>
      <c r="S3244">
        <f>IMAGE("https://mitra.stanford.edu/kundaje/oak/projects/neuro-variants/variant_position/credible/roussos_2024/variant_figures/roussos_2024.adolescence.Astrocyte/rs13179814_count_position.png",4,220,900)</f>
        <v/>
      </c>
      <c r="T3244">
        <f>IMAGE("https://mitra.stanford.edu/kundaje/oak/projects/neuro-variants/variant_position/credible/roussos_2024/variant_figures/roussos_2024.adolescence.Astrocyte/rs13179814_profile_position.png",4,220,900)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0.141233212</v>
      </c>
      <c r="G3245" t="n">
        <v>0.0407191489480907</v>
      </c>
      <c r="H3245" t="n">
        <v>0.0199242895424554</v>
      </c>
      <c r="I3245" t="n">
        <v>0.1395981333264105</v>
      </c>
      <c r="J3245" t="n">
        <v>0.0990342106043971</v>
      </c>
      <c r="K3245" t="n">
        <v>0.3283192123399844</v>
      </c>
      <c r="L3245" t="b">
        <v>0</v>
      </c>
      <c r="M3245" t="b">
        <v>0</v>
      </c>
      <c r="N3245" t="inlineStr">
        <is>
          <t>alt</t>
        </is>
      </c>
      <c r="O3245" t="n">
        <v>-25</v>
      </c>
      <c r="P3245" t="n">
        <v>0.054</v>
      </c>
      <c r="Q3245" t="n">
        <v>-25</v>
      </c>
      <c r="R3245" t="n">
        <v>0.0503</v>
      </c>
      <c r="S3245">
        <f>IMAGE("https://mitra.stanford.edu/kundaje/oak/projects/neuro-variants/variant_position/credible/roussos_2024/variant_figures/roussos_2024.adolescence.Astrocyte/rs62366231_count_position.png",4,220,900)</f>
        <v/>
      </c>
      <c r="T3245">
        <f>IMAGE("https://mitra.stanford.edu/kundaje/oak/projects/neuro-variants/variant_position/credible/roussos_2024/variant_figures/roussos_2024.adolescence.Astrocyte/rs62366231_profile_position.png",4,220,900)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0.009418519199999999</v>
      </c>
      <c r="G3246" t="n">
        <v>0.1092971685166924</v>
      </c>
      <c r="H3246" t="n">
        <v>0.017957495189358</v>
      </c>
      <c r="I3246" t="n">
        <v>0.1947814413082331</v>
      </c>
      <c r="J3246" t="n">
        <v>0.5128675488828888</v>
      </c>
      <c r="K3246" t="n">
        <v>0.0507739006371255</v>
      </c>
      <c r="L3246" t="b">
        <v>0</v>
      </c>
      <c r="M3246" t="b">
        <v>0</v>
      </c>
      <c r="N3246" t="inlineStr">
        <is>
          <t>alt</t>
        </is>
      </c>
      <c r="O3246" t="n">
        <v>100</v>
      </c>
      <c r="P3246" t="n">
        <v>0.06909999999999999</v>
      </c>
      <c r="Q3246" t="n">
        <v>30</v>
      </c>
      <c r="R3246" t="n">
        <v>0.04395</v>
      </c>
      <c r="S3246">
        <f>IMAGE("https://mitra.stanford.edu/kundaje/oak/projects/neuro-variants/variant_position/credible/roussos_2024/variant_figures/roussos_2024.adolescence.Astrocyte/rs4604142_count_position.png",4,220,900)</f>
        <v/>
      </c>
      <c r="T3246">
        <f>IMAGE("https://mitra.stanford.edu/kundaje/oak/projects/neuro-variants/variant_position/credible/roussos_2024/variant_figures/roussos_2024.adolescence.Astrocyte/rs4604142_profile_position.png",4,220,900)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0.1219386472</v>
      </c>
      <c r="G3247" t="n">
        <v>0.0586446041126009</v>
      </c>
      <c r="H3247" t="n">
        <v>0.0164097217330652</v>
      </c>
      <c r="I3247" t="n">
        <v>0.2588643858649783</v>
      </c>
      <c r="J3247" t="n">
        <v>0.6311270510043616</v>
      </c>
      <c r="K3247" t="n">
        <v>0.0263521470407617</v>
      </c>
      <c r="L3247" t="b">
        <v>0</v>
      </c>
      <c r="M3247" t="b">
        <v>0</v>
      </c>
      <c r="N3247" t="inlineStr">
        <is>
          <t>alt</t>
        </is>
      </c>
      <c r="O3247" t="n">
        <v>-95</v>
      </c>
      <c r="P3247" t="n">
        <v>0.01758</v>
      </c>
      <c r="Q3247" t="n">
        <v>-95</v>
      </c>
      <c r="R3247" t="n">
        <v>0.2285</v>
      </c>
      <c r="S3247">
        <f>IMAGE("https://mitra.stanford.edu/kundaje/oak/projects/neuro-variants/variant_position/credible/roussos_2024/variant_figures/roussos_2024.adolescence.Astrocyte/rs10939902_count_position.png",4,220,900)</f>
        <v/>
      </c>
      <c r="T3247">
        <f>IMAGE("https://mitra.stanford.edu/kundaje/oak/projects/neuro-variants/variant_position/credible/roussos_2024/variant_figures/roussos_2024.adolescence.Astrocyte/rs10939902_profile_position.png",4,220,900)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0.016232442</v>
      </c>
      <c r="G3248" t="n">
        <v>0.5473416444024853</v>
      </c>
      <c r="H3248" t="n">
        <v>0.0466325075692695</v>
      </c>
      <c r="I3248" t="n">
        <v>0.0051167537404794</v>
      </c>
      <c r="J3248" t="n">
        <v>0.0019278699225587</v>
      </c>
      <c r="K3248" t="n">
        <v>0.8246047994045665</v>
      </c>
      <c r="L3248" t="b">
        <v>0</v>
      </c>
      <c r="M3248" t="b">
        <v>0</v>
      </c>
      <c r="N3248" t="inlineStr">
        <is>
          <t>alt</t>
        </is>
      </c>
      <c r="O3248" t="n">
        <v>70</v>
      </c>
      <c r="P3248" t="n">
        <v>0.02396</v>
      </c>
      <c r="Q3248" t="n">
        <v>-90</v>
      </c>
      <c r="R3248" t="n">
        <v>0.1299</v>
      </c>
      <c r="S3248">
        <f>IMAGE("https://mitra.stanford.edu/kundaje/oak/projects/neuro-variants/variant_position/credible/roussos_2024/variant_figures/roussos_2024.adolescence.Astrocyte/rs34270022_count_position.png",4,220,900)</f>
        <v/>
      </c>
      <c r="T3248">
        <f>IMAGE("https://mitra.stanford.edu/kundaje/oak/projects/neuro-variants/variant_position/credible/roussos_2024/variant_figures/roussos_2024.adolescence.Astrocyte/rs34270022_profile_position.png",4,220,900)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0.0747590938</v>
      </c>
      <c r="G3249" t="n">
        <v>0.1296490020541258</v>
      </c>
      <c r="H3249" t="n">
        <v>0.0164070713106343</v>
      </c>
      <c r="I3249" t="n">
        <v>0.2507854873422351</v>
      </c>
      <c r="J3249" t="n">
        <v>0.0003056107764886</v>
      </c>
      <c r="K3249" t="n">
        <v>0.9444787360165604</v>
      </c>
      <c r="L3249" t="b">
        <v>0</v>
      </c>
      <c r="M3249" t="b">
        <v>0</v>
      </c>
      <c r="N3249" t="inlineStr">
        <is>
          <t>alt</t>
        </is>
      </c>
      <c r="O3249" t="n">
        <v>-65</v>
      </c>
      <c r="P3249" t="n">
        <v>0.00299</v>
      </c>
      <c r="Q3249" t="n">
        <v>-30</v>
      </c>
      <c r="R3249" t="n">
        <v>0.02197</v>
      </c>
      <c r="S3249">
        <f>IMAGE("https://mitra.stanford.edu/kundaje/oak/projects/neuro-variants/variant_position/credible/roussos_2024/variant_figures/roussos_2024.adolescence.Astrocyte/rs3104058_count_position.png",4,220,900)</f>
        <v/>
      </c>
      <c r="T3249">
        <f>IMAGE("https://mitra.stanford.edu/kundaje/oak/projects/neuro-variants/variant_position/credible/roussos_2024/variant_figures/roussos_2024.adolescence.Astrocyte/rs3104058_profile_position.png",4,220,900)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0.009696381840000001</v>
      </c>
      <c r="G3250" t="n">
        <v>0.6704285224240148</v>
      </c>
      <c r="H3250" t="n">
        <v>0.0303550541585322</v>
      </c>
      <c r="I3250" t="n">
        <v>0.0298359401052378</v>
      </c>
      <c r="J3250" t="n">
        <v>0.000128326855176</v>
      </c>
      <c r="K3250" t="n">
        <v>0.9811840808559128</v>
      </c>
      <c r="L3250" t="b">
        <v>0</v>
      </c>
      <c r="M3250" t="b">
        <v>0</v>
      </c>
      <c r="N3250" t="inlineStr">
        <is>
          <t>alt</t>
        </is>
      </c>
      <c r="O3250" t="n">
        <v>-100</v>
      </c>
      <c r="P3250" t="n">
        <v>0.02388</v>
      </c>
      <c r="Q3250" t="n">
        <v>5</v>
      </c>
      <c r="R3250" t="n">
        <v>0.01599</v>
      </c>
      <c r="S3250">
        <f>IMAGE("https://mitra.stanford.edu/kundaje/oak/projects/neuro-variants/variant_position/credible/roussos_2024/variant_figures/roussos_2024.adolescence.Astrocyte/rs1603090_count_position.png",4,220,900)</f>
        <v/>
      </c>
      <c r="T3250">
        <f>IMAGE("https://mitra.stanford.edu/kundaje/oak/projects/neuro-variants/variant_position/credible/roussos_2024/variant_figures/roussos_2024.adolescence.Astrocyte/rs1603090_profile_position.png",4,220,900)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0.0241207915</v>
      </c>
      <c r="G3251" t="n">
        <v>0.4738285644266217</v>
      </c>
      <c r="H3251" t="n">
        <v>0.0135789701082126</v>
      </c>
      <c r="I3251" t="n">
        <v>0.4227536362500819</v>
      </c>
      <c r="J3251" t="n">
        <v>0.0084191318280271</v>
      </c>
      <c r="K3251" t="n">
        <v>0.6834984106331392</v>
      </c>
      <c r="L3251" t="b">
        <v>0</v>
      </c>
      <c r="M3251" t="b">
        <v>0</v>
      </c>
      <c r="N3251" t="inlineStr">
        <is>
          <t>alt</t>
        </is>
      </c>
      <c r="O3251" t="n">
        <v>-50</v>
      </c>
      <c r="P3251" t="n">
        <v>0.006554</v>
      </c>
      <c r="Q3251" t="n">
        <v>100</v>
      </c>
      <c r="R3251" t="n">
        <v>0.2184</v>
      </c>
      <c r="S3251">
        <f>IMAGE("https://mitra.stanford.edu/kundaje/oak/projects/neuro-variants/variant_position/credible/roussos_2024/variant_figures/roussos_2024.adolescence.Astrocyte/rs2963002_count_position.png",4,220,900)</f>
        <v/>
      </c>
      <c r="T3251">
        <f>IMAGE("https://mitra.stanford.edu/kundaje/oak/projects/neuro-variants/variant_position/credible/roussos_2024/variant_figures/roussos_2024.adolescence.Astrocyte/rs2963002_profile_position.png",4,220,900)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0.154975516</v>
      </c>
      <c r="G3252" t="n">
        <v>0.0309998350562731</v>
      </c>
      <c r="H3252" t="n">
        <v>0.018289004919736</v>
      </c>
      <c r="I3252" t="n">
        <v>0.1847942291324009</v>
      </c>
      <c r="J3252" t="n">
        <v>0.0057405868913745</v>
      </c>
      <c r="K3252" t="n">
        <v>0.7296296164868001</v>
      </c>
      <c r="L3252" t="b">
        <v>0</v>
      </c>
      <c r="M3252" t="b">
        <v>0</v>
      </c>
      <c r="N3252" t="inlineStr">
        <is>
          <t>alt</t>
        </is>
      </c>
      <c r="O3252" t="n">
        <v>-95</v>
      </c>
      <c r="P3252" t="n">
        <v>0.01435</v>
      </c>
      <c r="Q3252" t="n">
        <v>75</v>
      </c>
      <c r="R3252" t="n">
        <v>0.1792</v>
      </c>
      <c r="S3252">
        <f>IMAGE("https://mitra.stanford.edu/kundaje/oak/projects/neuro-variants/variant_position/credible/roussos_2024/variant_figures/roussos_2024.adolescence.Astrocyte/rs11743978_count_position.png",4,220,900)</f>
        <v/>
      </c>
      <c r="T3252">
        <f>IMAGE("https://mitra.stanford.edu/kundaje/oak/projects/neuro-variants/variant_position/credible/roussos_2024/variant_figures/roussos_2024.adolescence.Astrocyte/rs11743978_profile_position.png",4,220,900)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0.0116934972</v>
      </c>
      <c r="G3253" t="n">
        <v>0.6947259554654504</v>
      </c>
      <c r="H3253" t="n">
        <v>0.0262803525754774</v>
      </c>
      <c r="I3253" t="n">
        <v>0.0520711820010231</v>
      </c>
      <c r="J3253" t="n">
        <v>0.0006067709106013</v>
      </c>
      <c r="K3253" t="n">
        <v>0.9111385060609464</v>
      </c>
      <c r="L3253" t="b">
        <v>0</v>
      </c>
      <c r="M3253" t="b">
        <v>0</v>
      </c>
      <c r="N3253" t="inlineStr">
        <is>
          <t>alt</t>
        </is>
      </c>
      <c r="O3253" t="n">
        <v>30</v>
      </c>
      <c r="P3253" t="n">
        <v>0.003418</v>
      </c>
      <c r="Q3253" t="n">
        <v>-85</v>
      </c>
      <c r="R3253" t="n">
        <v>0.02933</v>
      </c>
      <c r="S3253">
        <f>IMAGE("https://mitra.stanford.edu/kundaje/oak/projects/neuro-variants/variant_position/credible/roussos_2024/variant_figures/roussos_2024.adolescence.Astrocyte/rs6449715_count_position.png",4,220,900)</f>
        <v/>
      </c>
      <c r="T3253">
        <f>IMAGE("https://mitra.stanford.edu/kundaje/oak/projects/neuro-variants/variant_position/credible/roussos_2024/variant_figures/roussos_2024.adolescence.Astrocyte/rs6449715_profile_position.png",4,220,900)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0.0281617106</v>
      </c>
      <c r="G3254" t="n">
        <v>0.416613448808499</v>
      </c>
      <c r="H3254" t="n">
        <v>0.0077367419639547</v>
      </c>
      <c r="I3254" t="n">
        <v>0.924840034387616</v>
      </c>
      <c r="J3254" t="n">
        <v>0.0123245705130106</v>
      </c>
      <c r="K3254" t="n">
        <v>0.6370685383165776</v>
      </c>
      <c r="L3254" t="b">
        <v>0</v>
      </c>
      <c r="M3254" t="b">
        <v>0</v>
      </c>
      <c r="N3254" t="inlineStr">
        <is>
          <t>alt</t>
        </is>
      </c>
      <c r="O3254" t="n">
        <v>-100</v>
      </c>
      <c r="P3254" t="n">
        <v>0.007248</v>
      </c>
      <c r="Q3254" t="n">
        <v>-100</v>
      </c>
      <c r="R3254" t="n">
        <v>0.0857</v>
      </c>
      <c r="S3254">
        <f>IMAGE("https://mitra.stanford.edu/kundaje/oak/projects/neuro-variants/variant_position/credible/roussos_2024/variant_figures/roussos_2024.adolescence.Astrocyte/rs1526875_count_position.png",4,220,900)</f>
        <v/>
      </c>
      <c r="T3254">
        <f>IMAGE("https://mitra.stanford.edu/kundaje/oak/projects/neuro-variants/variant_position/credible/roussos_2024/variant_figures/roussos_2024.adolescence.Astrocyte/rs1526875_profile_position.png",4,220,900)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0.0370145012</v>
      </c>
      <c r="G3255" t="n">
        <v>0.323364331831846</v>
      </c>
      <c r="H3255" t="n">
        <v>0.0318447300804254</v>
      </c>
      <c r="I3255" t="n">
        <v>0.0246846812281436</v>
      </c>
      <c r="J3255" t="n">
        <v>0.0007336142183187</v>
      </c>
      <c r="K3255" t="n">
        <v>0.9101740723272084</v>
      </c>
      <c r="L3255" t="b">
        <v>0</v>
      </c>
      <c r="M3255" t="b">
        <v>0</v>
      </c>
      <c r="N3255" t="inlineStr">
        <is>
          <t>alt</t>
        </is>
      </c>
      <c r="O3255" t="n">
        <v>-60</v>
      </c>
      <c r="P3255" t="n">
        <v>0.002907</v>
      </c>
      <c r="Q3255" t="n">
        <v>-100</v>
      </c>
      <c r="R3255" t="n">
        <v>0.2251</v>
      </c>
      <c r="S3255">
        <f>IMAGE("https://mitra.stanford.edu/kundaje/oak/projects/neuro-variants/variant_position/credible/roussos_2024/variant_figures/roussos_2024.adolescence.Astrocyte/rs7732201_count_position.png",4,220,900)</f>
        <v/>
      </c>
      <c r="T3255">
        <f>IMAGE("https://mitra.stanford.edu/kundaje/oak/projects/neuro-variants/variant_position/credible/roussos_2024/variant_figures/roussos_2024.adolescence.Astrocyte/rs7732201_profile_position.png",4,220,900)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-0.004859179727</v>
      </c>
      <c r="G3256" t="n">
        <v>0.8718208275184519</v>
      </c>
      <c r="H3256" t="n">
        <v>0.0239072276411771</v>
      </c>
      <c r="I3256" t="n">
        <v>0.0746004601029374</v>
      </c>
      <c r="J3256" t="n">
        <v>0.0044283891641692</v>
      </c>
      <c r="K3256" t="n">
        <v>0.7642799745171743</v>
      </c>
      <c r="L3256" t="b">
        <v>0</v>
      </c>
      <c r="M3256" t="b">
        <v>0</v>
      </c>
      <c r="N3256" t="inlineStr">
        <is>
          <t>ref</t>
        </is>
      </c>
      <c r="O3256" t="n">
        <v>-5</v>
      </c>
      <c r="P3256" t="n">
        <v>0.0004425</v>
      </c>
      <c r="Q3256" t="n">
        <v>10</v>
      </c>
      <c r="R3256" t="n">
        <v>0.006836</v>
      </c>
      <c r="S3256">
        <f>IMAGE("https://mitra.stanford.edu/kundaje/oak/projects/neuro-variants/variant_position/credible/roussos_2024/variant_figures/roussos_2024.adolescence.Astrocyte/rs10056417_count_position.png",4,220,900)</f>
        <v/>
      </c>
      <c r="T3256">
        <f>IMAGE("https://mitra.stanford.edu/kundaje/oak/projects/neuro-variants/variant_position/credible/roussos_2024/variant_figures/roussos_2024.adolescence.Astrocyte/rs10056417_profile_position.png",4,220,900)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-0.068833114</v>
      </c>
      <c r="G3257" t="n">
        <v>0.1535688250244832</v>
      </c>
      <c r="H3257" t="n">
        <v>0.01283783426602</v>
      </c>
      <c r="I3257" t="n">
        <v>0.479005596266533</v>
      </c>
      <c r="J3257" t="n">
        <v>0.0001787674687712</v>
      </c>
      <c r="K3257" t="n">
        <v>0.9611426748244288</v>
      </c>
      <c r="L3257" t="b">
        <v>0</v>
      </c>
      <c r="M3257" t="b">
        <v>0</v>
      </c>
      <c r="N3257" t="inlineStr">
        <is>
          <t>ref</t>
        </is>
      </c>
      <c r="O3257" t="n">
        <v>70</v>
      </c>
      <c r="P3257" t="n">
        <v>0.003998</v>
      </c>
      <c r="Q3257" t="n">
        <v>65</v>
      </c>
      <c r="R3257" t="n">
        <v>0.0767</v>
      </c>
      <c r="S3257">
        <f>IMAGE("https://mitra.stanford.edu/kundaje/oak/projects/neuro-variants/variant_position/credible/roussos_2024/variant_figures/roussos_2024.adolescence.Astrocyte/rs28615727_count_position.png",4,220,900)</f>
        <v/>
      </c>
      <c r="T3257">
        <f>IMAGE("https://mitra.stanford.edu/kundaje/oak/projects/neuro-variants/variant_position/credible/roussos_2024/variant_figures/roussos_2024.adolescence.Astrocyte/rs28615727_profile_position.png",4,220,900)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-0.0556979388</v>
      </c>
      <c r="G3258" t="n">
        <v>0.2120038760852423</v>
      </c>
      <c r="H3258" t="n">
        <v>0.0104878394985702</v>
      </c>
      <c r="I3258" t="n">
        <v>0.6797438294162799</v>
      </c>
      <c r="J3258" t="n">
        <v>4.30228763018129e-05</v>
      </c>
      <c r="K3258" t="n">
        <v>0.995889014435126</v>
      </c>
      <c r="L3258" t="b">
        <v>0</v>
      </c>
      <c r="M3258" t="b">
        <v>0</v>
      </c>
      <c r="N3258" t="inlineStr">
        <is>
          <t>ref</t>
        </is>
      </c>
      <c r="O3258" t="n">
        <v>100</v>
      </c>
      <c r="P3258" t="n">
        <v>0.1964</v>
      </c>
      <c r="Q3258" t="n">
        <v>100</v>
      </c>
      <c r="R3258" t="n">
        <v>0.02905</v>
      </c>
      <c r="S3258">
        <f>IMAGE("https://mitra.stanford.edu/kundaje/oak/projects/neuro-variants/variant_position/credible/roussos_2024/variant_figures/roussos_2024.adolescence.Astrocyte/rs6449731_count_position.png",4,220,900)</f>
        <v/>
      </c>
      <c r="T3258">
        <f>IMAGE("https://mitra.stanford.edu/kundaje/oak/projects/neuro-variants/variant_position/credible/roussos_2024/variant_figures/roussos_2024.adolescence.Astrocyte/rs6449731_profile_position.png",4,220,900)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0.01582856772</v>
      </c>
      <c r="G3259" t="n">
        <v>0.6113369150521747</v>
      </c>
      <c r="H3259" t="n">
        <v>0.024320206756292</v>
      </c>
      <c r="I3259" t="n">
        <v>0.070224831841368</v>
      </c>
      <c r="J3259" t="n">
        <v>0.0002662967688335</v>
      </c>
      <c r="K3259" t="n">
        <v>0.946949168611428</v>
      </c>
      <c r="L3259" t="b">
        <v>0</v>
      </c>
      <c r="M3259" t="b">
        <v>0</v>
      </c>
      <c r="N3259" t="inlineStr">
        <is>
          <t>alt</t>
        </is>
      </c>
      <c r="O3259" t="n">
        <v>-75</v>
      </c>
      <c r="P3259" t="n">
        <v>0.02148</v>
      </c>
      <c r="Q3259" t="n">
        <v>65</v>
      </c>
      <c r="R3259" t="n">
        <v>0.06024</v>
      </c>
      <c r="S3259">
        <f>IMAGE("https://mitra.stanford.edu/kundaje/oak/projects/neuro-variants/variant_position/credible/roussos_2024/variant_figures/roussos_2024.adolescence.Astrocyte/rs11949865_count_position.png",4,220,900)</f>
        <v/>
      </c>
      <c r="T3259">
        <f>IMAGE("https://mitra.stanford.edu/kundaje/oak/projects/neuro-variants/variant_position/credible/roussos_2024/variant_figures/roussos_2024.adolescence.Astrocyte/rs11949865_profile_position.png",4,220,900)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0.012802599032</v>
      </c>
      <c r="G3260" t="n">
        <v>0.366978786959509</v>
      </c>
      <c r="H3260" t="n">
        <v>0.0131115697049999</v>
      </c>
      <c r="I3260" t="n">
        <v>0.4404725904658975</v>
      </c>
      <c r="J3260" t="n">
        <v>0.011309082277542</v>
      </c>
      <c r="K3260" t="n">
        <v>0.6520583179049189</v>
      </c>
      <c r="L3260" t="b">
        <v>0</v>
      </c>
      <c r="M3260" t="b">
        <v>0</v>
      </c>
      <c r="N3260" t="inlineStr">
        <is>
          <t>alt</t>
        </is>
      </c>
      <c r="O3260" t="n">
        <v>-90</v>
      </c>
      <c r="P3260" t="n">
        <v>0.02219</v>
      </c>
      <c r="Q3260" t="n">
        <v>80</v>
      </c>
      <c r="R3260" t="n">
        <v>0.08545</v>
      </c>
      <c r="S3260">
        <f>IMAGE("https://mitra.stanford.edu/kundaje/oak/projects/neuro-variants/variant_position/credible/roussos_2024/variant_figures/roussos_2024.adolescence.Astrocyte/rs4084594_count_position.png",4,220,900)</f>
        <v/>
      </c>
      <c r="T3260">
        <f>IMAGE("https://mitra.stanford.edu/kundaje/oak/projects/neuro-variants/variant_position/credible/roussos_2024/variant_figures/roussos_2024.adolescence.Astrocyte/rs4084594_profile_position.png",4,220,900)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-0.0384895267999999</v>
      </c>
      <c r="G3261" t="n">
        <v>0.3344369124662819</v>
      </c>
      <c r="H3261" t="n">
        <v>0.0317814016307013</v>
      </c>
      <c r="I3261" t="n">
        <v>0.0247746567161586</v>
      </c>
      <c r="J3261" t="n">
        <v>0.0027096994332848</v>
      </c>
      <c r="K3261" t="n">
        <v>0.8100906467741458</v>
      </c>
      <c r="L3261" t="b">
        <v>0</v>
      </c>
      <c r="M3261" t="b">
        <v>0</v>
      </c>
      <c r="N3261" t="inlineStr">
        <is>
          <t>ref</t>
        </is>
      </c>
      <c r="O3261" t="n">
        <v>60</v>
      </c>
      <c r="P3261" t="n">
        <v>0.00553</v>
      </c>
      <c r="Q3261" t="n">
        <v>100</v>
      </c>
      <c r="R3261" t="n">
        <v>0.12427</v>
      </c>
      <c r="S3261">
        <f>IMAGE("https://mitra.stanford.edu/kundaje/oak/projects/neuro-variants/variant_position/credible/roussos_2024/variant_figures/roussos_2024.adolescence.Astrocyte/rs7735729_count_position.png",4,220,900)</f>
        <v/>
      </c>
      <c r="T3261">
        <f>IMAGE("https://mitra.stanford.edu/kundaje/oak/projects/neuro-variants/variant_position/credible/roussos_2024/variant_figures/roussos_2024.adolescence.Astrocyte/rs7735729_profile_position.png",4,220,900)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-0.0405213064</v>
      </c>
      <c r="G3262" t="n">
        <v>0.3069022591948113</v>
      </c>
      <c r="H3262" t="n">
        <v>0.0317036833945186</v>
      </c>
      <c r="I3262" t="n">
        <v>0.0251804796700492</v>
      </c>
      <c r="J3262" t="n">
        <v>2.522030679761446e-05</v>
      </c>
      <c r="K3262" t="n">
        <v>0.9993910617026008</v>
      </c>
      <c r="L3262" t="b">
        <v>0</v>
      </c>
      <c r="M3262" t="b">
        <v>0</v>
      </c>
      <c r="N3262" t="inlineStr">
        <is>
          <t>ref</t>
        </is>
      </c>
      <c r="O3262" t="n">
        <v>100</v>
      </c>
      <c r="P3262" t="n">
        <v>0.003212</v>
      </c>
      <c r="Q3262" t="n">
        <v>-40</v>
      </c>
      <c r="R3262" t="n">
        <v>0.08704000000000001</v>
      </c>
      <c r="S3262">
        <f>IMAGE("https://mitra.stanford.edu/kundaje/oak/projects/neuro-variants/variant_position/credible/roussos_2024/variant_figures/roussos_2024.adolescence.Astrocyte/rs7736758_count_position.png",4,220,900)</f>
        <v/>
      </c>
      <c r="T3262">
        <f>IMAGE("https://mitra.stanford.edu/kundaje/oak/projects/neuro-variants/variant_position/credible/roussos_2024/variant_figures/roussos_2024.adolescence.Astrocyte/rs7736758_profile_position.png",4,220,900)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0.02989580128</v>
      </c>
      <c r="G3263" t="n">
        <v>0.4287314155466155</v>
      </c>
      <c r="H3263" t="n">
        <v>0.0208841336948916</v>
      </c>
      <c r="I3263" t="n">
        <v>0.1180271354787949</v>
      </c>
      <c r="J3263" t="n">
        <v>0.0015955552918137</v>
      </c>
      <c r="K3263" t="n">
        <v>0.8358686074911562</v>
      </c>
      <c r="L3263" t="b">
        <v>0</v>
      </c>
      <c r="M3263" t="b">
        <v>0</v>
      </c>
      <c r="N3263" t="inlineStr">
        <is>
          <t>alt</t>
        </is>
      </c>
      <c r="O3263" t="n">
        <v>-20</v>
      </c>
      <c r="P3263" t="n">
        <v>0.0008507</v>
      </c>
      <c r="Q3263" t="n">
        <v>-25</v>
      </c>
      <c r="R3263" t="n">
        <v>0.06506000000000001</v>
      </c>
      <c r="S3263">
        <f>IMAGE("https://mitra.stanford.edu/kundaje/oak/projects/neuro-variants/variant_position/credible/roussos_2024/variant_figures/roussos_2024.adolescence.Astrocyte/rs4470714_count_position.png",4,220,900)</f>
        <v/>
      </c>
      <c r="T3263">
        <f>IMAGE("https://mitra.stanford.edu/kundaje/oak/projects/neuro-variants/variant_position/credible/roussos_2024/variant_figures/roussos_2024.adolescence.Astrocyte/rs4470714_profile_position.png",4,220,900)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-0.0085360592</v>
      </c>
      <c r="G3264" t="n">
        <v>0.7847517137681906</v>
      </c>
      <c r="H3264" t="n">
        <v>0.022534999679897</v>
      </c>
      <c r="I3264" t="n">
        <v>0.0917734922007581</v>
      </c>
      <c r="J3264" t="n">
        <v>0.0268878141411743</v>
      </c>
      <c r="K3264" t="n">
        <v>0.5361173868554341</v>
      </c>
      <c r="L3264" t="b">
        <v>0</v>
      </c>
      <c r="M3264" t="b">
        <v>0</v>
      </c>
      <c r="N3264" t="inlineStr">
        <is>
          <t>ref</t>
        </is>
      </c>
      <c r="O3264" t="n">
        <v>100</v>
      </c>
      <c r="P3264" t="n">
        <v>0.011475</v>
      </c>
      <c r="Q3264" t="n">
        <v>100</v>
      </c>
      <c r="R3264" t="n">
        <v>0.2357</v>
      </c>
      <c r="S3264">
        <f>IMAGE("https://mitra.stanford.edu/kundaje/oak/projects/neuro-variants/variant_position/credible/roussos_2024/variant_figures/roussos_2024.adolescence.Astrocyte/rs1903305_count_position.png",4,220,900)</f>
        <v/>
      </c>
      <c r="T3264">
        <f>IMAGE("https://mitra.stanford.edu/kundaje/oak/projects/neuro-variants/variant_position/credible/roussos_2024/variant_figures/roussos_2024.adolescence.Astrocyte/rs1903305_profile_position.png",4,220,900)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-0.02027046112</v>
      </c>
      <c r="G3265" t="n">
        <v>0.5646491311647678</v>
      </c>
      <c r="H3265" t="n">
        <v>0.0324883870832086</v>
      </c>
      <c r="I3265" t="n">
        <v>0.0225916213684958</v>
      </c>
      <c r="J3265" t="n">
        <v>0.0073272408984362</v>
      </c>
      <c r="K3265" t="n">
        <v>0.711811247020477</v>
      </c>
      <c r="L3265" t="b">
        <v>0</v>
      </c>
      <c r="M3265" t="b">
        <v>0</v>
      </c>
      <c r="N3265" t="inlineStr">
        <is>
          <t>ref</t>
        </is>
      </c>
      <c r="O3265" t="n">
        <v>100</v>
      </c>
      <c r="P3265" t="n">
        <v>0.02249</v>
      </c>
      <c r="Q3265" t="n">
        <v>-100</v>
      </c>
      <c r="R3265" t="n">
        <v>0.1902</v>
      </c>
      <c r="S3265">
        <f>IMAGE("https://mitra.stanford.edu/kundaje/oak/projects/neuro-variants/variant_position/credible/roussos_2024/variant_figures/roussos_2024.adolescence.Astrocyte/rs75930101_count_position.png",4,220,900)</f>
        <v/>
      </c>
      <c r="T3265">
        <f>IMAGE("https://mitra.stanford.edu/kundaje/oak/projects/neuro-variants/variant_position/credible/roussos_2024/variant_figures/roussos_2024.adolescence.Astrocyte/rs75930101_profile_position.png",4,220,900)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0.01039580072</v>
      </c>
      <c r="G3266" t="n">
        <v>0.6572886189272661</v>
      </c>
      <c r="H3266" t="n">
        <v>0.0122538442426528</v>
      </c>
      <c r="I3266" t="n">
        <v>0.5368534418397432</v>
      </c>
      <c r="J3266" t="n">
        <v>0.19372459424977</v>
      </c>
      <c r="K3266" t="n">
        <v>0.2080739258068929</v>
      </c>
      <c r="L3266" t="b">
        <v>0</v>
      </c>
      <c r="M3266" t="b">
        <v>0</v>
      </c>
      <c r="N3266" t="inlineStr">
        <is>
          <t>alt</t>
        </is>
      </c>
      <c r="O3266" t="n">
        <v>95</v>
      </c>
      <c r="P3266" t="n">
        <v>0.003384</v>
      </c>
      <c r="Q3266" t="n">
        <v>-100</v>
      </c>
      <c r="R3266" t="n">
        <v>0.2324</v>
      </c>
      <c r="S3266">
        <f>IMAGE("https://mitra.stanford.edu/kundaje/oak/projects/neuro-variants/variant_position/credible/roussos_2024/variant_figures/roussos_2024.adolescence.Astrocyte/rs17508283_count_position.png",4,220,900)</f>
        <v/>
      </c>
      <c r="T3266">
        <f>IMAGE("https://mitra.stanford.edu/kundaje/oak/projects/neuro-variants/variant_position/credible/roussos_2024/variant_figures/roussos_2024.adolescence.Astrocyte/rs17508283_profile_position.png",4,220,900)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-0.0217045088</v>
      </c>
      <c r="G3267" t="n">
        <v>0.5257016066558005</v>
      </c>
      <c r="H3267" t="n">
        <v>0.0202393551571679</v>
      </c>
      <c r="I3267" t="n">
        <v>0.1326587091964899</v>
      </c>
      <c r="J3267" t="n">
        <v>0.0021214728659169</v>
      </c>
      <c r="K3267" t="n">
        <v>0.8174530220232478</v>
      </c>
      <c r="L3267" t="b">
        <v>0</v>
      </c>
      <c r="M3267" t="b">
        <v>0</v>
      </c>
      <c r="N3267" t="inlineStr">
        <is>
          <t>ref</t>
        </is>
      </c>
      <c r="O3267" t="n">
        <v>30</v>
      </c>
      <c r="P3267" t="n">
        <v>0.02774</v>
      </c>
      <c r="Q3267" t="n">
        <v>-30</v>
      </c>
      <c r="R3267" t="n">
        <v>0.02798</v>
      </c>
      <c r="S3267">
        <f>IMAGE("https://mitra.stanford.edu/kundaje/oak/projects/neuro-variants/variant_position/credible/roussos_2024/variant_figures/roussos_2024.adolescence.Astrocyte/rs12109397_count_position.png",4,220,900)</f>
        <v/>
      </c>
      <c r="T3267">
        <f>IMAGE("https://mitra.stanford.edu/kundaje/oak/projects/neuro-variants/variant_position/credible/roussos_2024/variant_figures/roussos_2024.adolescence.Astrocyte/rs12109397_profile_position.png",4,220,900)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-0.0120530532</v>
      </c>
      <c r="G3268" t="n">
        <v>0.6110683046244431</v>
      </c>
      <c r="H3268" t="n">
        <v>0.0113424249915886</v>
      </c>
      <c r="I3268" t="n">
        <v>0.6125399696961862</v>
      </c>
      <c r="J3268" t="n">
        <v>0.0002655549951042</v>
      </c>
      <c r="K3268" t="n">
        <v>0.944092824978455</v>
      </c>
      <c r="L3268" t="b">
        <v>0</v>
      </c>
      <c r="M3268" t="b">
        <v>0</v>
      </c>
      <c r="N3268" t="inlineStr">
        <is>
          <t>ref</t>
        </is>
      </c>
      <c r="O3268" t="n">
        <v>30</v>
      </c>
      <c r="P3268" t="n">
        <v>0.00538</v>
      </c>
      <c r="Q3268" t="n">
        <v>85</v>
      </c>
      <c r="R3268" t="n">
        <v>0.1069</v>
      </c>
      <c r="S3268">
        <f>IMAGE("https://mitra.stanford.edu/kundaje/oak/projects/neuro-variants/variant_position/credible/roussos_2024/variant_figures/roussos_2024.adolescence.Astrocyte/rs10070532_count_position.png",4,220,900)</f>
        <v/>
      </c>
      <c r="T3268">
        <f>IMAGE("https://mitra.stanford.edu/kundaje/oak/projects/neuro-variants/variant_position/credible/roussos_2024/variant_figures/roussos_2024.adolescence.Astrocyte/rs10070532_profile_position.png",4,220,900)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0.0400293334</v>
      </c>
      <c r="G3269" t="n">
        <v>0.3245111403293244</v>
      </c>
      <c r="H3269" t="n">
        <v>0.0550833288081067</v>
      </c>
      <c r="I3269" t="n">
        <v>0.002797440001299</v>
      </c>
      <c r="J3269" t="n">
        <v>0.0024500786280152</v>
      </c>
      <c r="K3269" t="n">
        <v>0.8120453225886901</v>
      </c>
      <c r="L3269" t="b">
        <v>0</v>
      </c>
      <c r="M3269" t="b">
        <v>0</v>
      </c>
      <c r="N3269" t="inlineStr">
        <is>
          <t>alt</t>
        </is>
      </c>
      <c r="O3269" t="n">
        <v>-80</v>
      </c>
      <c r="P3269" t="n">
        <v>0.0199</v>
      </c>
      <c r="Q3269" t="n">
        <v>-80</v>
      </c>
      <c r="R3269" t="n">
        <v>0.10754</v>
      </c>
      <c r="S3269">
        <f>IMAGE("https://mitra.stanford.edu/kundaje/oak/projects/neuro-variants/variant_position/credible/roussos_2024/variant_figures/roussos_2024.adolescence.Astrocyte/rs2939257_count_position.png",4,220,900)</f>
        <v/>
      </c>
      <c r="T3269">
        <f>IMAGE("https://mitra.stanford.edu/kundaje/oak/projects/neuro-variants/variant_position/credible/roussos_2024/variant_figures/roussos_2024.adolescence.Astrocyte/rs2939257_profile_position.png",4,220,900)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0.1464948196</v>
      </c>
      <c r="G3270" t="n">
        <v>0.0387106048507775</v>
      </c>
      <c r="H3270" t="n">
        <v>0.0208000938870174</v>
      </c>
      <c r="I3270" t="n">
        <v>0.1204235505595127</v>
      </c>
      <c r="J3270" t="n">
        <v>0.2893377444144437</v>
      </c>
      <c r="K3270" t="n">
        <v>0.1384378898894612</v>
      </c>
      <c r="L3270" t="b">
        <v>0</v>
      </c>
      <c r="M3270" t="b">
        <v>0</v>
      </c>
      <c r="N3270" t="inlineStr">
        <is>
          <t>alt</t>
        </is>
      </c>
      <c r="O3270" t="n">
        <v>-75</v>
      </c>
      <c r="P3270" t="n">
        <v>0.02509</v>
      </c>
      <c r="Q3270" t="n">
        <v>5</v>
      </c>
      <c r="R3270" t="n">
        <v>0.02832</v>
      </c>
      <c r="S3270">
        <f>IMAGE("https://mitra.stanford.edu/kundaje/oak/projects/neuro-variants/variant_position/credible/roussos_2024/variant_figures/roussos_2024.adolescence.Astrocyte/rs2935244_count_position.png",4,220,900)</f>
        <v/>
      </c>
      <c r="T3270">
        <f>IMAGE("https://mitra.stanford.edu/kundaje/oak/projects/neuro-variants/variant_position/credible/roussos_2024/variant_figures/roussos_2024.adolescence.Astrocyte/rs2935244_profile_position.png",4,220,900)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-0.0293656068</v>
      </c>
      <c r="G3271" t="n">
        <v>0.423467580448112</v>
      </c>
      <c r="H3271" t="n">
        <v>0.0292495055684676</v>
      </c>
      <c r="I3271" t="n">
        <v>0.0344953087143075</v>
      </c>
      <c r="J3271" t="n">
        <v>0.036220069430021</v>
      </c>
      <c r="K3271" t="n">
        <v>0.4943728867455436</v>
      </c>
      <c r="L3271" t="b">
        <v>0</v>
      </c>
      <c r="M3271" t="b">
        <v>0</v>
      </c>
      <c r="N3271" t="inlineStr">
        <is>
          <t>ref</t>
        </is>
      </c>
      <c r="O3271" t="n">
        <v>-100</v>
      </c>
      <c r="P3271" t="n">
        <v>0.04254</v>
      </c>
      <c r="Q3271" t="n">
        <v>-100</v>
      </c>
      <c r="R3271" t="n">
        <v>0.575</v>
      </c>
      <c r="S3271">
        <f>IMAGE("https://mitra.stanford.edu/kundaje/oak/projects/neuro-variants/variant_position/credible/roussos_2024/variant_figures/roussos_2024.adolescence.Astrocyte/rs2973827_count_position.png",4,220,900)</f>
        <v/>
      </c>
      <c r="T3271">
        <f>IMAGE("https://mitra.stanford.edu/kundaje/oak/projects/neuro-variants/variant_position/credible/roussos_2024/variant_figures/roussos_2024.adolescence.Astrocyte/rs2973827_profile_position.png",4,220,900)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0.00228595516</v>
      </c>
      <c r="G3272" t="n">
        <v>0.8360041405017544</v>
      </c>
      <c r="H3272" t="n">
        <v>0.009356064280233899</v>
      </c>
      <c r="I3272" t="n">
        <v>0.8226366772857454</v>
      </c>
      <c r="J3272" t="n">
        <v>0.0015072842180221</v>
      </c>
      <c r="K3272" t="n">
        <v>0.8431639954882618</v>
      </c>
      <c r="L3272" t="b">
        <v>0</v>
      </c>
      <c r="M3272" t="b">
        <v>0</v>
      </c>
      <c r="N3272" t="inlineStr">
        <is>
          <t>alt</t>
        </is>
      </c>
      <c r="O3272" t="n">
        <v>-100</v>
      </c>
      <c r="P3272" t="n">
        <v>0.01988</v>
      </c>
      <c r="Q3272" t="n">
        <v>-75</v>
      </c>
      <c r="R3272" t="n">
        <v>0.0842</v>
      </c>
      <c r="S3272">
        <f>IMAGE("https://mitra.stanford.edu/kundaje/oak/projects/neuro-variants/variant_position/credible/roussos_2024/variant_figures/roussos_2024.adolescence.Astrocyte/rs2939246_count_position.png",4,220,900)</f>
        <v/>
      </c>
      <c r="T3272">
        <f>IMAGE("https://mitra.stanford.edu/kundaje/oak/projects/neuro-variants/variant_position/credible/roussos_2024/variant_figures/roussos_2024.adolescence.Astrocyte/rs2939246_profile_position.png",4,220,900)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0.01193033062</v>
      </c>
      <c r="G3273" t="n">
        <v>0.6932118103641909</v>
      </c>
      <c r="H3273" t="n">
        <v>0.0353239322195419</v>
      </c>
      <c r="I3273" t="n">
        <v>0.0159526448847902</v>
      </c>
      <c r="J3273" t="n">
        <v>5.340770851259531e-05</v>
      </c>
      <c r="K3273" t="n">
        <v>0.9921396793618008</v>
      </c>
      <c r="L3273" t="b">
        <v>0</v>
      </c>
      <c r="M3273" t="b">
        <v>0</v>
      </c>
      <c r="N3273" t="inlineStr">
        <is>
          <t>alt</t>
        </is>
      </c>
      <c r="O3273" t="n">
        <v>40</v>
      </c>
      <c r="P3273" t="n">
        <v>0.00293</v>
      </c>
      <c r="Q3273" t="n">
        <v>-100</v>
      </c>
      <c r="R3273" t="n">
        <v>0.0228</v>
      </c>
      <c r="S3273">
        <f>IMAGE("https://mitra.stanford.edu/kundaje/oak/projects/neuro-variants/variant_position/credible/roussos_2024/variant_figures/roussos_2024.adolescence.Astrocyte/rs2973829_count_position.png",4,220,900)</f>
        <v/>
      </c>
      <c r="T3273">
        <f>IMAGE("https://mitra.stanford.edu/kundaje/oak/projects/neuro-variants/variant_position/credible/roussos_2024/variant_figures/roussos_2024.adolescence.Astrocyte/rs2973829_profile_position.png",4,220,900)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0.0188333998799999</v>
      </c>
      <c r="G3274" t="n">
        <v>0.5458675122842318</v>
      </c>
      <c r="H3274" t="n">
        <v>0.0104702962630231</v>
      </c>
      <c r="I3274" t="n">
        <v>0.6943400312616765</v>
      </c>
      <c r="J3274" t="n">
        <v>6.67596356407297e-05</v>
      </c>
      <c r="K3274" t="n">
        <v>0.9905752906017886</v>
      </c>
      <c r="L3274" t="b">
        <v>0</v>
      </c>
      <c r="M3274" t="b">
        <v>0</v>
      </c>
      <c r="N3274" t="inlineStr">
        <is>
          <t>alt</t>
        </is>
      </c>
      <c r="O3274" t="n">
        <v>-15</v>
      </c>
      <c r="P3274" t="n">
        <v>0.001244</v>
      </c>
      <c r="Q3274" t="n">
        <v>85</v>
      </c>
      <c r="R3274" t="n">
        <v>0.0737</v>
      </c>
      <c r="S3274">
        <f>IMAGE("https://mitra.stanford.edu/kundaje/oak/projects/neuro-variants/variant_position/credible/roussos_2024/variant_figures/roussos_2024.adolescence.Astrocyte/rs2973831_count_position.png",4,220,900)</f>
        <v/>
      </c>
      <c r="T3274">
        <f>IMAGE("https://mitra.stanford.edu/kundaje/oak/projects/neuro-variants/variant_position/credible/roussos_2024/variant_figures/roussos_2024.adolescence.Astrocyte/rs2973831_profile_position.png",4,220,900)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0.03783524</v>
      </c>
      <c r="G3275" t="n">
        <v>0.3282329118462164</v>
      </c>
      <c r="H3275" t="n">
        <v>0.0165299725569383</v>
      </c>
      <c r="I3275" t="n">
        <v>0.2459354792944506</v>
      </c>
      <c r="J3275" t="n">
        <v>0.0383356081061032</v>
      </c>
      <c r="K3275" t="n">
        <v>0.4902790621810157</v>
      </c>
      <c r="L3275" t="b">
        <v>0</v>
      </c>
      <c r="M3275" t="b">
        <v>0</v>
      </c>
      <c r="N3275" t="inlineStr">
        <is>
          <t>alt</t>
        </is>
      </c>
      <c r="O3275" t="n">
        <v>70</v>
      </c>
      <c r="P3275" t="n">
        <v>0.00936</v>
      </c>
      <c r="Q3275" t="n">
        <v>-85</v>
      </c>
      <c r="R3275" t="n">
        <v>0.1299</v>
      </c>
      <c r="S3275">
        <f>IMAGE("https://mitra.stanford.edu/kundaje/oak/projects/neuro-variants/variant_position/credible/roussos_2024/variant_figures/roussos_2024.adolescence.Astrocyte/rs9327836_count_position.png",4,220,900)</f>
        <v/>
      </c>
      <c r="T3275">
        <f>IMAGE("https://mitra.stanford.edu/kundaje/oak/projects/neuro-variants/variant_position/credible/roussos_2024/variant_figures/roussos_2024.adolescence.Astrocyte/rs9327836_profile_position.png",4,220,900)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0.0606421693</v>
      </c>
      <c r="G3276" t="n">
        <v>0.1876016237678796</v>
      </c>
      <c r="H3276" t="n">
        <v>0.0217494432177413</v>
      </c>
      <c r="I3276" t="n">
        <v>0.1029691753204418</v>
      </c>
      <c r="J3276" t="n">
        <v>0.1506683381301367</v>
      </c>
      <c r="K3276" t="n">
        <v>0.259942090535283</v>
      </c>
      <c r="L3276" t="b">
        <v>0</v>
      </c>
      <c r="M3276" t="b">
        <v>0</v>
      </c>
      <c r="N3276" t="inlineStr">
        <is>
          <t>alt</t>
        </is>
      </c>
      <c r="O3276" t="n">
        <v>20</v>
      </c>
      <c r="P3276" t="n">
        <v>0.006622</v>
      </c>
      <c r="Q3276" t="n">
        <v>25</v>
      </c>
      <c r="R3276" t="n">
        <v>0.146</v>
      </c>
      <c r="S3276">
        <f>IMAGE("https://mitra.stanford.edu/kundaje/oak/projects/neuro-variants/variant_position/credible/roussos_2024/variant_figures/roussos_2024.adolescence.Astrocyte/rs6884162_count_position.png",4,220,900)</f>
        <v/>
      </c>
      <c r="T3276">
        <f>IMAGE("https://mitra.stanford.edu/kundaje/oak/projects/neuro-variants/variant_position/credible/roussos_2024/variant_figures/roussos_2024.adolescence.Astrocyte/rs6884162_profile_position.png",4,220,900)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0.0001851177</v>
      </c>
      <c r="G3277" t="n">
        <v>0.5985690900243251</v>
      </c>
      <c r="H3277" t="n">
        <v>0.0155620285123782</v>
      </c>
      <c r="I3277" t="n">
        <v>0.2921937947634205</v>
      </c>
      <c r="J3277" t="n">
        <v>0.0853855739845117</v>
      </c>
      <c r="K3277" t="n">
        <v>0.3590132852025321</v>
      </c>
      <c r="L3277" t="b">
        <v>0</v>
      </c>
      <c r="M3277" t="b">
        <v>0</v>
      </c>
      <c r="N3277" t="inlineStr">
        <is>
          <t>alt</t>
        </is>
      </c>
      <c r="O3277" t="n">
        <v>-35</v>
      </c>
      <c r="P3277" t="n">
        <v>0.005394</v>
      </c>
      <c r="Q3277" t="n">
        <v>-100</v>
      </c>
      <c r="R3277" t="n">
        <v>0.1048</v>
      </c>
      <c r="S3277">
        <f>IMAGE("https://mitra.stanford.edu/kundaje/oak/projects/neuro-variants/variant_position/credible/roussos_2024/variant_figures/roussos_2024.adolescence.Astrocyte/rs1452060_count_position.png",4,220,900)</f>
        <v/>
      </c>
      <c r="T3277">
        <f>IMAGE("https://mitra.stanford.edu/kundaje/oak/projects/neuro-variants/variant_position/credible/roussos_2024/variant_figures/roussos_2024.adolescence.Astrocyte/rs1452060_profile_position.png",4,220,900)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0.035475422</v>
      </c>
      <c r="G3278" t="n">
        <v>0.08994755794518799</v>
      </c>
      <c r="H3278" t="n">
        <v>0.020351396649179</v>
      </c>
      <c r="I3278" t="n">
        <v>0.1330110270490704</v>
      </c>
      <c r="J3278" t="n">
        <v>0.0222465359166839</v>
      </c>
      <c r="K3278" t="n">
        <v>0.6090931915776627</v>
      </c>
      <c r="L3278" t="b">
        <v>0</v>
      </c>
      <c r="M3278" t="b">
        <v>0</v>
      </c>
      <c r="N3278" t="inlineStr">
        <is>
          <t>alt</t>
        </is>
      </c>
      <c r="O3278" t="n">
        <v>0</v>
      </c>
      <c r="P3278" t="n">
        <v>0</v>
      </c>
      <c r="Q3278" t="n">
        <v>0</v>
      </c>
      <c r="R3278" t="n">
        <v>0</v>
      </c>
      <c r="S3278">
        <f>IMAGE("https://mitra.stanford.edu/kundaje/oak/projects/neuro-variants/variant_position/credible/roussos_2024/variant_figures/roussos_2024.adolescence.Astrocyte/rs1869103_count_position.png",4,220,900)</f>
        <v/>
      </c>
      <c r="T3278">
        <f>IMAGE("https://mitra.stanford.edu/kundaje/oak/projects/neuro-variants/variant_position/credible/roussos_2024/variant_figures/roussos_2024.adolescence.Astrocyte/rs1869103_profile_position.png",4,220,900)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0.0684758612</v>
      </c>
      <c r="G3279" t="n">
        <v>0.1699145994769492</v>
      </c>
      <c r="H3279" t="n">
        <v>0.0197094200069836</v>
      </c>
      <c r="I3279" t="n">
        <v>0.1613235309072586</v>
      </c>
      <c r="J3279" t="n">
        <v>0.0002581372578108</v>
      </c>
      <c r="K3279" t="n">
        <v>0.95469056805579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0.005585</v>
      </c>
      <c r="Q3279" t="n">
        <v>80</v>
      </c>
      <c r="R3279" t="n">
        <v>0.092</v>
      </c>
      <c r="S3279">
        <f>IMAGE("https://mitra.stanford.edu/kundaje/oak/projects/neuro-variants/variant_position/credible/roussos_2024/variant_figures/roussos_2024.adolescence.Astrocyte/rs10079075_count_position.png",4,220,900)</f>
        <v/>
      </c>
      <c r="T3279">
        <f>IMAGE("https://mitra.stanford.edu/kundaje/oak/projects/neuro-variants/variant_position/credible/roussos_2024/variant_figures/roussos_2024.adolescence.Astrocyte/rs10079075_profile_position.png",4,220,900)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0.0255085429999999</v>
      </c>
      <c r="G3280" t="n">
        <v>0.4423923796685634</v>
      </c>
      <c r="H3280" t="n">
        <v>0.0122479709380386</v>
      </c>
      <c r="I3280" t="n">
        <v>0.5313422893716618</v>
      </c>
      <c r="J3280" t="n">
        <v>0.0002091801916743</v>
      </c>
      <c r="K3280" t="n">
        <v>0.9653496300850292</v>
      </c>
      <c r="L3280" t="b">
        <v>0</v>
      </c>
      <c r="M3280" t="b">
        <v>0</v>
      </c>
      <c r="N3280" t="inlineStr">
        <is>
          <t>alt</t>
        </is>
      </c>
      <c r="O3280" t="n">
        <v>95</v>
      </c>
      <c r="P3280" t="n">
        <v>0.00822</v>
      </c>
      <c r="Q3280" t="n">
        <v>-100</v>
      </c>
      <c r="R3280" t="n">
        <v>0.2292</v>
      </c>
      <c r="S3280">
        <f>IMAGE("https://mitra.stanford.edu/kundaje/oak/projects/neuro-variants/variant_position/credible/roussos_2024/variant_figures/roussos_2024.adolescence.Astrocyte/rs1823693_count_position.png",4,220,900)</f>
        <v/>
      </c>
      <c r="T3280">
        <f>IMAGE("https://mitra.stanford.edu/kundaje/oak/projects/neuro-variants/variant_position/credible/roussos_2024/variant_figures/roussos_2024.adolescence.Astrocyte/rs1823693_profile_position.png",4,220,900)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0.0425062643</v>
      </c>
      <c r="G3281" t="n">
        <v>0.3080364523361779</v>
      </c>
      <c r="H3281" t="n">
        <v>0.018483122975469</v>
      </c>
      <c r="I3281" t="n">
        <v>0.1774930420969993</v>
      </c>
      <c r="J3281" t="n">
        <v>0.0009227665193007999</v>
      </c>
      <c r="K3281" t="n">
        <v>0.8811704601344924</v>
      </c>
      <c r="L3281" t="b">
        <v>0</v>
      </c>
      <c r="M3281" t="b">
        <v>0</v>
      </c>
      <c r="N3281" t="inlineStr">
        <is>
          <t>alt</t>
        </is>
      </c>
      <c r="O3281" t="n">
        <v>-60</v>
      </c>
      <c r="P3281" t="n">
        <v>0.00307</v>
      </c>
      <c r="Q3281" t="n">
        <v>65</v>
      </c>
      <c r="R3281" t="n">
        <v>0.09619999999999999</v>
      </c>
      <c r="S3281">
        <f>IMAGE("https://mitra.stanford.edu/kundaje/oak/projects/neuro-variants/variant_position/credible/roussos_2024/variant_figures/roussos_2024.adolescence.Astrocyte/rs1901510_count_position.png",4,220,900)</f>
        <v/>
      </c>
      <c r="T3281">
        <f>IMAGE("https://mitra.stanford.edu/kundaje/oak/projects/neuro-variants/variant_position/credible/roussos_2024/variant_figures/roussos_2024.adolescence.Astrocyte/rs1901510_profile_position.png",4,220,900)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-0.0193229884</v>
      </c>
      <c r="G3282" t="n">
        <v>0.4956801822055592</v>
      </c>
      <c r="H3282" t="n">
        <v>0.0242096768228471</v>
      </c>
      <c r="I3282" t="n">
        <v>0.0716198231944227</v>
      </c>
      <c r="J3282" t="n">
        <v>0.0002054713230276</v>
      </c>
      <c r="K3282" t="n">
        <v>0.9676908199037698</v>
      </c>
      <c r="L3282" t="b">
        <v>0</v>
      </c>
      <c r="M3282" t="b">
        <v>0</v>
      </c>
      <c r="N3282" t="inlineStr">
        <is>
          <t>ref</t>
        </is>
      </c>
      <c r="O3282" t="n">
        <v>-65</v>
      </c>
      <c r="P3282" t="n">
        <v>0.011475</v>
      </c>
      <c r="Q3282" t="n">
        <v>-95</v>
      </c>
      <c r="R3282" t="n">
        <v>0.2152</v>
      </c>
      <c r="S3282">
        <f>IMAGE("https://mitra.stanford.edu/kundaje/oak/projects/neuro-variants/variant_position/credible/roussos_2024/variant_figures/roussos_2024.adolescence.Astrocyte/rs2198246_count_position.png",4,220,900)</f>
        <v/>
      </c>
      <c r="T3282">
        <f>IMAGE("https://mitra.stanford.edu/kundaje/oak/projects/neuro-variants/variant_position/credible/roussos_2024/variant_figures/roussos_2024.adolescence.Astrocyte/rs2198246_profile_position.png",4,220,900)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0.1245184113999999</v>
      </c>
      <c r="G3283" t="n">
        <v>0.0534978672488293</v>
      </c>
      <c r="H3283" t="n">
        <v>0.0230983659155327</v>
      </c>
      <c r="I3283" t="n">
        <v>0.0892776449187886</v>
      </c>
      <c r="J3283" t="n">
        <v>0.0045292703913597</v>
      </c>
      <c r="K3283" t="n">
        <v>0.7659337807206663</v>
      </c>
      <c r="L3283" t="b">
        <v>0</v>
      </c>
      <c r="M3283" t="b">
        <v>0</v>
      </c>
      <c r="N3283" t="inlineStr">
        <is>
          <t>alt</t>
        </is>
      </c>
      <c r="O3283" t="n">
        <v>-100</v>
      </c>
      <c r="P3283" t="n">
        <v>0.005707</v>
      </c>
      <c r="Q3283" t="n">
        <v>-5</v>
      </c>
      <c r="R3283" t="n">
        <v>0.0003662</v>
      </c>
      <c r="S3283">
        <f>IMAGE("https://mitra.stanford.edu/kundaje/oak/projects/neuro-variants/variant_position/credible/roussos_2024/variant_figures/roussos_2024.adolescence.Astrocyte/rs7718122_count_position.png",4,220,900)</f>
        <v/>
      </c>
      <c r="T3283">
        <f>IMAGE("https://mitra.stanford.edu/kundaje/oak/projects/neuro-variants/variant_position/credible/roussos_2024/variant_figures/roussos_2024.adolescence.Astrocyte/rs7718122_profile_position.png",4,220,900)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-0.02605851474</v>
      </c>
      <c r="G3284" t="n">
        <v>0.4807382298712743</v>
      </c>
      <c r="H3284" t="n">
        <v>0.009926059786175201</v>
      </c>
      <c r="I3284" t="n">
        <v>0.7412766081157787</v>
      </c>
      <c r="J3284" t="n">
        <v>0.0031725662403939</v>
      </c>
      <c r="K3284" t="n">
        <v>0.7877396950974157</v>
      </c>
      <c r="L3284" t="b">
        <v>0</v>
      </c>
      <c r="M3284" t="b">
        <v>0</v>
      </c>
      <c r="N3284" t="inlineStr">
        <is>
          <t>ref</t>
        </is>
      </c>
      <c r="O3284" t="n">
        <v>85</v>
      </c>
      <c r="P3284" t="n">
        <v>0.007860000000000001</v>
      </c>
      <c r="Q3284" t="n">
        <v>90</v>
      </c>
      <c r="R3284" t="n">
        <v>0.11426</v>
      </c>
      <c r="S3284">
        <f>IMAGE("https://mitra.stanford.edu/kundaje/oak/projects/neuro-variants/variant_position/credible/roussos_2024/variant_figures/roussos_2024.adolescence.Astrocyte/rs6861350_count_position.png",4,220,900)</f>
        <v/>
      </c>
      <c r="T3284">
        <f>IMAGE("https://mitra.stanford.edu/kundaje/oak/projects/neuro-variants/variant_position/credible/roussos_2024/variant_figures/roussos_2024.adolescence.Astrocyte/rs6861350_profile_position.png",4,220,900)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-0.008041846932</v>
      </c>
      <c r="G3285" t="n">
        <v>0.7971078378551379</v>
      </c>
      <c r="H3285" t="n">
        <v>0.0419592798169723</v>
      </c>
      <c r="I3285" t="n">
        <v>0.007865203426788901</v>
      </c>
      <c r="J3285" t="n">
        <v>0.0016192920511526</v>
      </c>
      <c r="K3285" t="n">
        <v>0.8442515019828922</v>
      </c>
      <c r="L3285" t="b">
        <v>0</v>
      </c>
      <c r="M3285" t="b">
        <v>0</v>
      </c>
      <c r="N3285" t="inlineStr">
        <is>
          <t>ref</t>
        </is>
      </c>
      <c r="O3285" t="n">
        <v>100</v>
      </c>
      <c r="P3285" t="n">
        <v>0.034</v>
      </c>
      <c r="Q3285" t="n">
        <v>100</v>
      </c>
      <c r="R3285" t="n">
        <v>0.09174</v>
      </c>
      <c r="S3285">
        <f>IMAGE("https://mitra.stanford.edu/kundaje/oak/projects/neuro-variants/variant_position/credible/roussos_2024/variant_figures/roussos_2024.adolescence.Astrocyte/rs1597766_count_position.png",4,220,900)</f>
        <v/>
      </c>
      <c r="T3285">
        <f>IMAGE("https://mitra.stanford.edu/kundaje/oak/projects/neuro-variants/variant_position/credible/roussos_2024/variant_figures/roussos_2024.adolescence.Astrocyte/rs1597766_profile_position.png",4,220,900)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-0.01218027696</v>
      </c>
      <c r="G3286" t="n">
        <v>0.6814558087580809</v>
      </c>
      <c r="H3286" t="n">
        <v>0.0321813111264315</v>
      </c>
      <c r="I3286" t="n">
        <v>0.0240323189197154</v>
      </c>
      <c r="J3286" t="n">
        <v>0.0005118238732456</v>
      </c>
      <c r="K3286" t="n">
        <v>0.9136678097103272</v>
      </c>
      <c r="L3286" t="b">
        <v>0</v>
      </c>
      <c r="M3286" t="b">
        <v>0</v>
      </c>
      <c r="N3286" t="inlineStr">
        <is>
          <t>ref</t>
        </is>
      </c>
      <c r="O3286" t="n">
        <v>-100</v>
      </c>
      <c r="P3286" t="n">
        <v>0.0206</v>
      </c>
      <c r="Q3286" t="n">
        <v>-90</v>
      </c>
      <c r="R3286" t="n">
        <v>0.0982</v>
      </c>
      <c r="S3286">
        <f>IMAGE("https://mitra.stanford.edu/kundaje/oak/projects/neuro-variants/variant_position/credible/roussos_2024/variant_figures/roussos_2024.adolescence.Astrocyte/rs10041806_count_position.png",4,220,900)</f>
        <v/>
      </c>
      <c r="T3286">
        <f>IMAGE("https://mitra.stanford.edu/kundaje/oak/projects/neuro-variants/variant_position/credible/roussos_2024/variant_figures/roussos_2024.adolescence.Astrocyte/rs10041806_profile_position.png",4,220,900)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-0.01408610508</v>
      </c>
      <c r="G3287" t="n">
        <v>0.6675975142607318</v>
      </c>
      <c r="H3287" t="n">
        <v>0.0303882516836966</v>
      </c>
      <c r="I3287" t="n">
        <v>0.0302474603695929</v>
      </c>
      <c r="J3287" t="n">
        <v>0.0002091801916742</v>
      </c>
      <c r="K3287" t="n">
        <v>0.9574302562750576</v>
      </c>
      <c r="L3287" t="b">
        <v>0</v>
      </c>
      <c r="M3287" t="b">
        <v>0</v>
      </c>
      <c r="N3287" t="inlineStr">
        <is>
          <t>ref</t>
        </is>
      </c>
      <c r="O3287" t="n">
        <v>-5</v>
      </c>
      <c r="P3287" t="n">
        <v>0.006958</v>
      </c>
      <c r="Q3287" t="n">
        <v>-10</v>
      </c>
      <c r="R3287" t="n">
        <v>0.01257</v>
      </c>
      <c r="S3287">
        <f>IMAGE("https://mitra.stanford.edu/kundaje/oak/projects/neuro-variants/variant_position/credible/roussos_2024/variant_figures/roussos_2024.adolescence.Astrocyte/rs9327850_count_position.png",4,220,900)</f>
        <v/>
      </c>
      <c r="T3287">
        <f>IMAGE("https://mitra.stanford.edu/kundaje/oak/projects/neuro-variants/variant_position/credible/roussos_2024/variant_figures/roussos_2024.adolescence.Astrocyte/rs9327850_profile_position.png",4,220,900)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0.0374617174</v>
      </c>
      <c r="G3288" t="n">
        <v>0.3201774739102096</v>
      </c>
      <c r="H3288" t="n">
        <v>0.010571696885945</v>
      </c>
      <c r="I3288" t="n">
        <v>0.6805587567021745</v>
      </c>
      <c r="J3288" t="n">
        <v>4.59899712191793e-05</v>
      </c>
      <c r="K3288" t="n">
        <v>0.9945054700802436</v>
      </c>
      <c r="L3288" t="b">
        <v>0</v>
      </c>
      <c r="M3288" t="b">
        <v>0</v>
      </c>
      <c r="N3288" t="inlineStr">
        <is>
          <t>alt</t>
        </is>
      </c>
      <c r="O3288" t="n">
        <v>-65</v>
      </c>
      <c r="P3288" t="n">
        <v>0.01135</v>
      </c>
      <c r="Q3288" t="n">
        <v>30</v>
      </c>
      <c r="R3288" t="n">
        <v>0.03015</v>
      </c>
      <c r="S3288">
        <f>IMAGE("https://mitra.stanford.edu/kundaje/oak/projects/neuro-variants/variant_position/credible/roussos_2024/variant_figures/roussos_2024.adolescence.Astrocyte/rs9327851_count_position.png",4,220,900)</f>
        <v/>
      </c>
      <c r="T3288">
        <f>IMAGE("https://mitra.stanford.edu/kundaje/oak/projects/neuro-variants/variant_position/credible/roussos_2024/variant_figures/roussos_2024.adolescence.Astrocyte/rs9327851_profile_position.png",4,220,900)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0.0186352232</v>
      </c>
      <c r="G3289" t="n">
        <v>0.5591082740604254</v>
      </c>
      <c r="H3289" t="n">
        <v>0.0487739800392078</v>
      </c>
      <c r="I3289" t="n">
        <v>0.0042593845480557</v>
      </c>
      <c r="J3289" t="n">
        <v>0.0345777823932587</v>
      </c>
      <c r="K3289" t="n">
        <v>0.5030865555435101</v>
      </c>
      <c r="L3289" t="b">
        <v>1</v>
      </c>
      <c r="M3289" t="b">
        <v>0</v>
      </c>
      <c r="N3289" t="inlineStr">
        <is>
          <t>alt</t>
        </is>
      </c>
      <c r="O3289" t="n">
        <v>100</v>
      </c>
      <c r="P3289" t="n">
        <v>0.01538</v>
      </c>
      <c r="Q3289" t="n">
        <v>-15</v>
      </c>
      <c r="R3289" t="n">
        <v>0.03217</v>
      </c>
      <c r="S3289">
        <f>IMAGE("https://mitra.stanford.edu/kundaje/oak/projects/neuro-variants/variant_position/credible/roussos_2024/variant_figures/roussos_2024.adolescence.Astrocyte/rs6874612_count_position.png",4,220,900)</f>
        <v/>
      </c>
      <c r="T3289">
        <f>IMAGE("https://mitra.stanford.edu/kundaje/oak/projects/neuro-variants/variant_position/credible/roussos_2024/variant_figures/roussos_2024.adolescence.Astrocyte/rs6874612_profile_position.png",4,220,900)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-0.0234259542</v>
      </c>
      <c r="G3290" t="n">
        <v>0.5150661032510683</v>
      </c>
      <c r="H3290" t="n">
        <v>0.0330646248774489</v>
      </c>
      <c r="I3290" t="n">
        <v>0.0211064047749366</v>
      </c>
      <c r="J3290" t="n">
        <v>0.0005325935376672</v>
      </c>
      <c r="K3290" t="n">
        <v>0.9190602376964522</v>
      </c>
      <c r="L3290" t="b">
        <v>0</v>
      </c>
      <c r="M3290" t="b">
        <v>0</v>
      </c>
      <c r="N3290" t="inlineStr">
        <is>
          <t>ref</t>
        </is>
      </c>
      <c r="O3290" t="n">
        <v>-75</v>
      </c>
      <c r="P3290" t="n">
        <v>0.00827</v>
      </c>
      <c r="Q3290" t="n">
        <v>70</v>
      </c>
      <c r="R3290" t="n">
        <v>0.1082</v>
      </c>
      <c r="S3290">
        <f>IMAGE("https://mitra.stanford.edu/kundaje/oak/projects/neuro-variants/variant_position/credible/roussos_2024/variant_figures/roussos_2024.adolescence.Astrocyte/rs9285946_count_position.png",4,220,900)</f>
        <v/>
      </c>
      <c r="T3290">
        <f>IMAGE("https://mitra.stanford.edu/kundaje/oak/projects/neuro-variants/variant_position/credible/roussos_2024/variant_figures/roussos_2024.adolescence.Astrocyte/rs9285946_profile_position.png",4,220,900)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0.004768516914</v>
      </c>
      <c r="G3291" t="n">
        <v>0.8571573200953077</v>
      </c>
      <c r="H3291" t="n">
        <v>0.0346348582765916</v>
      </c>
      <c r="I3291" t="n">
        <v>0.0183099162795719</v>
      </c>
      <c r="J3291" t="n">
        <v>0.0027141500756608</v>
      </c>
      <c r="K3291" t="n">
        <v>0.8307890717179222</v>
      </c>
      <c r="L3291" t="b">
        <v>0</v>
      </c>
      <c r="M3291" t="b">
        <v>0</v>
      </c>
      <c r="N3291" t="inlineStr">
        <is>
          <t>alt</t>
        </is>
      </c>
      <c r="O3291" t="n">
        <v>45</v>
      </c>
      <c r="P3291" t="n">
        <v>0.002693</v>
      </c>
      <c r="Q3291" t="n">
        <v>-95</v>
      </c>
      <c r="R3291" t="n">
        <v>0.06866</v>
      </c>
      <c r="S3291">
        <f>IMAGE("https://mitra.stanford.edu/kundaje/oak/projects/neuro-variants/variant_position/credible/roussos_2024/variant_figures/roussos_2024.adolescence.Astrocyte/rs7721084_count_position.png",4,220,900)</f>
        <v/>
      </c>
      <c r="T3291">
        <f>IMAGE("https://mitra.stanford.edu/kundaje/oak/projects/neuro-variants/variant_position/credible/roussos_2024/variant_figures/roussos_2024.adolescence.Astrocyte/rs7721084_profile_position.png",4,220,900)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-0.00428820208</v>
      </c>
      <c r="G3292" t="n">
        <v>0.5978164584769973</v>
      </c>
      <c r="H3292" t="n">
        <v>0.0223497829057615</v>
      </c>
      <c r="I3292" t="n">
        <v>0.0956250269107384</v>
      </c>
      <c r="J3292" t="n">
        <v>0.025692816663205</v>
      </c>
      <c r="K3292" t="n">
        <v>0.5349286850979036</v>
      </c>
      <c r="L3292" t="b">
        <v>0</v>
      </c>
      <c r="M3292" t="b">
        <v>0</v>
      </c>
      <c r="N3292" t="inlineStr">
        <is>
          <t>ref</t>
        </is>
      </c>
      <c r="O3292" t="n">
        <v>-40</v>
      </c>
      <c r="P3292" t="n">
        <v>0.00415</v>
      </c>
      <c r="Q3292" t="n">
        <v>-10</v>
      </c>
      <c r="R3292" t="n">
        <v>0.008545000000000001</v>
      </c>
      <c r="S3292">
        <f>IMAGE("https://mitra.stanford.edu/kundaje/oak/projects/neuro-variants/variant_position/credible/roussos_2024/variant_figures/roussos_2024.adolescence.Astrocyte/rs10057126_count_position.png",4,220,900)</f>
        <v/>
      </c>
      <c r="T3292">
        <f>IMAGE("https://mitra.stanford.edu/kundaje/oak/projects/neuro-variants/variant_position/credible/roussos_2024/variant_figures/roussos_2024.adolescence.Astrocyte/rs10057126_profile_position.png",4,220,900)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-0.208245712</v>
      </c>
      <c r="G3293" t="n">
        <v>0.0173443458268309</v>
      </c>
      <c r="H3293" t="n">
        <v>0.0311704828995456</v>
      </c>
      <c r="I3293" t="n">
        <v>0.0274297891515156</v>
      </c>
      <c r="J3293" t="n">
        <v>0.0524441444381805</v>
      </c>
      <c r="K3293" t="n">
        <v>0.4353950447085846</v>
      </c>
      <c r="L3293" t="b">
        <v>1</v>
      </c>
      <c r="M3293" t="b">
        <v>0</v>
      </c>
      <c r="N3293" t="inlineStr">
        <is>
          <t>ref</t>
        </is>
      </c>
      <c r="O3293" t="n">
        <v>-10</v>
      </c>
      <c r="P3293" t="n">
        <v>0.006516</v>
      </c>
      <c r="Q3293" t="n">
        <v>-50</v>
      </c>
      <c r="R3293" t="n">
        <v>0.05518</v>
      </c>
      <c r="S3293">
        <f>IMAGE("https://mitra.stanford.edu/kundaje/oak/projects/neuro-variants/variant_position/credible/roussos_2024/variant_figures/roussos_2024.adolescence.Astrocyte/rs1901522_count_position.png",4,220,900)</f>
        <v/>
      </c>
      <c r="T3293">
        <f>IMAGE("https://mitra.stanford.edu/kundaje/oak/projects/neuro-variants/variant_position/credible/roussos_2024/variant_figures/roussos_2024.adolescence.Astrocyte/rs1901522_profile_position.png",4,220,900)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0.0106889882</v>
      </c>
      <c r="G3294" t="n">
        <v>0.7028740870418619</v>
      </c>
      <c r="H3294" t="n">
        <v>0.0088945762329779</v>
      </c>
      <c r="I3294" t="n">
        <v>0.8613255583299835</v>
      </c>
      <c r="J3294" t="n">
        <v>0.0001906358484407</v>
      </c>
      <c r="K3294" t="n">
        <v>0.963460576894915</v>
      </c>
      <c r="L3294" t="b">
        <v>0</v>
      </c>
      <c r="M3294" t="b">
        <v>0</v>
      </c>
      <c r="N3294" t="inlineStr">
        <is>
          <t>alt</t>
        </is>
      </c>
      <c r="O3294" t="n">
        <v>80</v>
      </c>
      <c r="P3294" t="n">
        <v>0.01378</v>
      </c>
      <c r="Q3294" t="n">
        <v>-50</v>
      </c>
      <c r="R3294" t="n">
        <v>0.09045</v>
      </c>
      <c r="S3294">
        <f>IMAGE("https://mitra.stanford.edu/kundaje/oak/projects/neuro-variants/variant_position/credible/roussos_2024/variant_figures/roussos_2024.adolescence.Astrocyte/rs2060834_count_position.png",4,220,900)</f>
        <v/>
      </c>
      <c r="T3294">
        <f>IMAGE("https://mitra.stanford.edu/kundaje/oak/projects/neuro-variants/variant_position/credible/roussos_2024/variant_figures/roussos_2024.adolescence.Astrocyte/rs2060834_profile_position.png",4,220,900)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0.0093227517</v>
      </c>
      <c r="G3295" t="n">
        <v>0.3669752696759878</v>
      </c>
      <c r="H3295" t="n">
        <v>0.0157363610273396</v>
      </c>
      <c r="I3295" t="n">
        <v>0.2895301004211938</v>
      </c>
      <c r="J3295" t="n">
        <v>0.0059549594991543</v>
      </c>
      <c r="K3295" t="n">
        <v>0.7504997190254682</v>
      </c>
      <c r="L3295" t="b">
        <v>0</v>
      </c>
      <c r="M3295" t="b">
        <v>0</v>
      </c>
      <c r="N3295" t="inlineStr">
        <is>
          <t>alt</t>
        </is>
      </c>
      <c r="O3295" t="n">
        <v>75</v>
      </c>
      <c r="P3295" t="n">
        <v>0.003292</v>
      </c>
      <c r="Q3295" t="n">
        <v>-60</v>
      </c>
      <c r="R3295" t="n">
        <v>0.0501</v>
      </c>
      <c r="S3295">
        <f>IMAGE("https://mitra.stanford.edu/kundaje/oak/projects/neuro-variants/variant_position/credible/roussos_2024/variant_figures/roussos_2024.adolescence.Astrocyte/rs9986226_count_position.png",4,220,900)</f>
        <v/>
      </c>
      <c r="T3295">
        <f>IMAGE("https://mitra.stanford.edu/kundaje/oak/projects/neuro-variants/variant_position/credible/roussos_2024/variant_figures/roussos_2024.adolescence.Astrocyte/rs9986226_profile_position.png",4,220,900)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-0.031768787</v>
      </c>
      <c r="G3296" t="n">
        <v>0.3834111041307221</v>
      </c>
      <c r="H3296" t="n">
        <v>0.0267011059786284</v>
      </c>
      <c r="I3296" t="n">
        <v>0.0491510740037414</v>
      </c>
      <c r="J3296" t="n">
        <v>0.0004042666824911</v>
      </c>
      <c r="K3296" t="n">
        <v>0.9333827680346836</v>
      </c>
      <c r="L3296" t="b">
        <v>0</v>
      </c>
      <c r="M3296" t="b">
        <v>0</v>
      </c>
      <c r="N3296" t="inlineStr">
        <is>
          <t>ref</t>
        </is>
      </c>
      <c r="O3296" t="n">
        <v>40</v>
      </c>
      <c r="P3296" t="n">
        <v>0.00873</v>
      </c>
      <c r="Q3296" t="n">
        <v>-100</v>
      </c>
      <c r="R3296" t="n">
        <v>0.02234</v>
      </c>
      <c r="S3296">
        <f>IMAGE("https://mitra.stanford.edu/kundaje/oak/projects/neuro-variants/variant_position/credible/roussos_2024/variant_figures/roussos_2024.adolescence.Astrocyte/rs1597770_count_position.png",4,220,900)</f>
        <v/>
      </c>
      <c r="T3296">
        <f>IMAGE("https://mitra.stanford.edu/kundaje/oak/projects/neuro-variants/variant_position/credible/roussos_2024/variant_figures/roussos_2024.adolescence.Astrocyte/rs1597770_profile_position.png",4,220,900)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0.0268463786</v>
      </c>
      <c r="G3297" t="n">
        <v>0.4487020765038717</v>
      </c>
      <c r="H3297" t="n">
        <v>0.0254967921963938</v>
      </c>
      <c r="I3297" t="n">
        <v>0.0582713519320654</v>
      </c>
      <c r="J3297" t="n">
        <v>0.0068591816752217</v>
      </c>
      <c r="K3297" t="n">
        <v>0.7100596299655209</v>
      </c>
      <c r="L3297" t="b">
        <v>0</v>
      </c>
      <c r="M3297" t="b">
        <v>0</v>
      </c>
      <c r="N3297" t="inlineStr">
        <is>
          <t>alt</t>
        </is>
      </c>
      <c r="O3297" t="n">
        <v>-95</v>
      </c>
      <c r="P3297" t="n">
        <v>0.006443</v>
      </c>
      <c r="Q3297" t="n">
        <v>10</v>
      </c>
      <c r="R3297" t="n">
        <v>0.0006104</v>
      </c>
      <c r="S3297">
        <f>IMAGE("https://mitra.stanford.edu/kundaje/oak/projects/neuro-variants/variant_position/credible/roussos_2024/variant_figures/roussos_2024.adolescence.Astrocyte/rs1470794_count_position.png",4,220,900)</f>
        <v/>
      </c>
      <c r="T3297">
        <f>IMAGE("https://mitra.stanford.edu/kundaje/oak/projects/neuro-variants/variant_position/credible/roussos_2024/variant_figures/roussos_2024.adolescence.Astrocyte/rs1470794_profile_position.png",4,220,900)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-0.0069574094</v>
      </c>
      <c r="G3298" t="n">
        <v>0.7132177402835872</v>
      </c>
      <c r="H3298" t="n">
        <v>0.0123064423175939</v>
      </c>
      <c r="I3298" t="n">
        <v>0.5229793389115797</v>
      </c>
      <c r="J3298" t="n">
        <v>0.3204818562145802</v>
      </c>
      <c r="K3298" t="n">
        <v>0.1249724854561753</v>
      </c>
      <c r="L3298" t="b">
        <v>0</v>
      </c>
      <c r="M3298" t="b">
        <v>0</v>
      </c>
      <c r="N3298" t="inlineStr">
        <is>
          <t>ref</t>
        </is>
      </c>
      <c r="O3298" t="n">
        <v>-25</v>
      </c>
      <c r="P3298" t="n">
        <v>0.004</v>
      </c>
      <c r="Q3298" t="n">
        <v>-80</v>
      </c>
      <c r="R3298" t="n">
        <v>0.1368</v>
      </c>
      <c r="S3298">
        <f>IMAGE("https://mitra.stanford.edu/kundaje/oak/projects/neuro-variants/variant_position/credible/roussos_2024/variant_figures/roussos_2024.adolescence.Astrocyte/rs6878326_count_position.png",4,220,900)</f>
        <v/>
      </c>
      <c r="T3298">
        <f>IMAGE("https://mitra.stanford.edu/kundaje/oak/projects/neuro-variants/variant_position/credible/roussos_2024/variant_figures/roussos_2024.adolescence.Astrocyte/rs6878326_profile_position.png",4,220,900)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0.0388681074</v>
      </c>
      <c r="G3299" t="n">
        <v>0.3017302425333386</v>
      </c>
      <c r="H3299" t="n">
        <v>0.0132290728901293</v>
      </c>
      <c r="I3299" t="n">
        <v>0.4508199945611157</v>
      </c>
      <c r="J3299" t="n">
        <v>0.0760852149660267</v>
      </c>
      <c r="K3299" t="n">
        <v>0.3921386936623532</v>
      </c>
      <c r="L3299" t="b">
        <v>0</v>
      </c>
      <c r="M3299" t="b">
        <v>0</v>
      </c>
      <c r="N3299" t="inlineStr">
        <is>
          <t>alt</t>
        </is>
      </c>
      <c r="O3299" t="n">
        <v>55</v>
      </c>
      <c r="P3299" t="n">
        <v>0.01563</v>
      </c>
      <c r="Q3299" t="n">
        <v>0</v>
      </c>
      <c r="R3299" t="n">
        <v>0</v>
      </c>
      <c r="S3299">
        <f>IMAGE("https://mitra.stanford.edu/kundaje/oak/projects/neuro-variants/variant_position/credible/roussos_2024/variant_figures/roussos_2024.adolescence.Astrocyte/rs4413509_count_position.png",4,220,900)</f>
        <v/>
      </c>
      <c r="T3299">
        <f>IMAGE("https://mitra.stanford.edu/kundaje/oak/projects/neuro-variants/variant_position/credible/roussos_2024/variant_figures/roussos_2024.adolescence.Astrocyte/rs4413509_profile_position.png",4,220,900)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-0.0982985342</v>
      </c>
      <c r="G3300" t="n">
        <v>0.0815916412613608</v>
      </c>
      <c r="H3300" t="n">
        <v>0.0157148418768894</v>
      </c>
      <c r="I3300" t="n">
        <v>0.2829282234009693</v>
      </c>
      <c r="J3300" t="n">
        <v>0.000156514256891</v>
      </c>
      <c r="K3300" t="n">
        <v>0.9811340565052272</v>
      </c>
      <c r="L3300" t="b">
        <v>0</v>
      </c>
      <c r="M3300" t="b">
        <v>0</v>
      </c>
      <c r="N3300" t="inlineStr">
        <is>
          <t>ref</t>
        </is>
      </c>
      <c r="O3300" t="n">
        <v>-35</v>
      </c>
      <c r="P3300" t="n">
        <v>0.001162</v>
      </c>
      <c r="Q3300" t="n">
        <v>95</v>
      </c>
      <c r="R3300" t="n">
        <v>0.1001</v>
      </c>
      <c r="S3300">
        <f>IMAGE("https://mitra.stanford.edu/kundaje/oak/projects/neuro-variants/variant_position/credible/roussos_2024/variant_figures/roussos_2024.adolescence.Astrocyte/rs9765316_count_position.png",4,220,900)</f>
        <v/>
      </c>
      <c r="T3300">
        <f>IMAGE("https://mitra.stanford.edu/kundaje/oak/projects/neuro-variants/variant_position/credible/roussos_2024/variant_figures/roussos_2024.adolescence.Astrocyte/rs9765316_profile_position.png",4,220,900)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0.102130894</v>
      </c>
      <c r="G3301" t="n">
        <v>0.07283707510327091</v>
      </c>
      <c r="H3301" t="n">
        <v>0.0318392302094053</v>
      </c>
      <c r="I3301" t="n">
        <v>0.0283472160282679</v>
      </c>
      <c r="J3301" t="n">
        <v>0.0232798267216567</v>
      </c>
      <c r="K3301" t="n">
        <v>0.5599602006137554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0.02124</v>
      </c>
      <c r="Q3301" t="n">
        <v>-10</v>
      </c>
      <c r="R3301" t="n">
        <v>0.005737</v>
      </c>
      <c r="S3301">
        <f>IMAGE("https://mitra.stanford.edu/kundaje/oak/projects/neuro-variants/variant_position/credible/roussos_2024/variant_figures/roussos_2024.adolescence.Astrocyte/rs10038801_count_position.png",4,220,900)</f>
        <v/>
      </c>
      <c r="T3301">
        <f>IMAGE("https://mitra.stanford.edu/kundaje/oak/projects/neuro-variants/variant_position/credible/roussos_2024/variant_figures/roussos_2024.adolescence.Astrocyte/rs10038801_profile_position.png",4,220,900)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0.129622829</v>
      </c>
      <c r="G3302" t="n">
        <v>0.0554358928524588</v>
      </c>
      <c r="H3302" t="n">
        <v>0.015945990039675</v>
      </c>
      <c r="I3302" t="n">
        <v>0.2787904211005293</v>
      </c>
      <c r="J3302" t="n">
        <v>0.018548793875916</v>
      </c>
      <c r="K3302" t="n">
        <v>0.6111997126864545</v>
      </c>
      <c r="L3302" t="b">
        <v>0</v>
      </c>
      <c r="M3302" t="b">
        <v>0</v>
      </c>
      <c r="N3302" t="inlineStr">
        <is>
          <t>alt</t>
        </is>
      </c>
      <c r="O3302" t="n">
        <v>-5</v>
      </c>
      <c r="P3302" t="n">
        <v>0.002502</v>
      </c>
      <c r="Q3302" t="n">
        <v>60</v>
      </c>
      <c r="R3302" t="n">
        <v>0.0752</v>
      </c>
      <c r="S3302">
        <f>IMAGE("https://mitra.stanford.edu/kundaje/oak/projects/neuro-variants/variant_position/credible/roussos_2024/variant_figures/roussos_2024.adolescence.Astrocyte/rs6872341_count_position.png",4,220,900)</f>
        <v/>
      </c>
      <c r="T3302">
        <f>IMAGE("https://mitra.stanford.edu/kundaje/oak/projects/neuro-variants/variant_position/credible/roussos_2024/variant_figures/roussos_2024.adolescence.Astrocyte/rs6872341_profile_position.png",4,220,900)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-0.0842785942</v>
      </c>
      <c r="G3303" t="n">
        <v>0.1218615786897216</v>
      </c>
      <c r="H3303" t="n">
        <v>0.0128693492750718</v>
      </c>
      <c r="I3303" t="n">
        <v>0.4776392233200782</v>
      </c>
      <c r="J3303" t="n">
        <v>0.009482835355902899</v>
      </c>
      <c r="K3303" t="n">
        <v>0.6626755212823708</v>
      </c>
      <c r="L3303" t="b">
        <v>0</v>
      </c>
      <c r="M3303" t="b">
        <v>0</v>
      </c>
      <c r="N3303" t="inlineStr">
        <is>
          <t>ref</t>
        </is>
      </c>
      <c r="O3303" t="n">
        <v>-100</v>
      </c>
      <c r="P3303" t="n">
        <v>0.00717</v>
      </c>
      <c r="Q3303" t="n">
        <v>100</v>
      </c>
      <c r="R3303" t="n">
        <v>0.0548</v>
      </c>
      <c r="S3303">
        <f>IMAGE("https://mitra.stanford.edu/kundaje/oak/projects/neuro-variants/variant_position/credible/roussos_2024/variant_figures/roussos_2024.adolescence.Astrocyte/rs1376909_count_position.png",4,220,900)</f>
        <v/>
      </c>
      <c r="T3303">
        <f>IMAGE("https://mitra.stanford.edu/kundaje/oak/projects/neuro-variants/variant_position/credible/roussos_2024/variant_figures/roussos_2024.adolescence.Astrocyte/rs1376909_profile_position.png",4,220,900)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0.0243950851999999</v>
      </c>
      <c r="G3304" t="n">
        <v>0.462311809239376</v>
      </c>
      <c r="H3304" t="n">
        <v>0.009525296568321901</v>
      </c>
      <c r="I3304" t="n">
        <v>0.800469005302996</v>
      </c>
      <c r="J3304" t="n">
        <v>0.0505058896834109</v>
      </c>
      <c r="K3304" t="n">
        <v>0.4348744850864241</v>
      </c>
      <c r="L3304" t="b">
        <v>0</v>
      </c>
      <c r="M3304" t="b">
        <v>0</v>
      </c>
      <c r="N3304" t="inlineStr">
        <is>
          <t>alt</t>
        </is>
      </c>
      <c r="O3304" t="n">
        <v>-100</v>
      </c>
      <c r="P3304" t="n">
        <v>0.04663</v>
      </c>
      <c r="Q3304" t="n">
        <v>-100</v>
      </c>
      <c r="R3304" t="n">
        <v>0.1284</v>
      </c>
      <c r="S3304">
        <f>IMAGE("https://mitra.stanford.edu/kundaje/oak/projects/neuro-variants/variant_position/credible/roussos_2024/variant_figures/roussos_2024.adolescence.Astrocyte/rs7724920_count_position.png",4,220,900)</f>
        <v/>
      </c>
      <c r="T3304">
        <f>IMAGE("https://mitra.stanford.edu/kundaje/oak/projects/neuro-variants/variant_position/credible/roussos_2024/variant_figures/roussos_2024.adolescence.Astrocyte/rs7724920_profile_position.png",4,220,900)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-0.0252688059999999</v>
      </c>
      <c r="G3305" t="n">
        <v>0.3792811614318984</v>
      </c>
      <c r="H3305" t="n">
        <v>0.0170496802725633</v>
      </c>
      <c r="I3305" t="n">
        <v>0.2253264151999514</v>
      </c>
      <c r="J3305" t="n">
        <v>0.011278669554639</v>
      </c>
      <c r="K3305" t="n">
        <v>0.667962739642581</v>
      </c>
      <c r="L3305" t="b">
        <v>0</v>
      </c>
      <c r="M3305" t="b">
        <v>0</v>
      </c>
      <c r="N3305" t="inlineStr">
        <is>
          <t>ref</t>
        </is>
      </c>
      <c r="O3305" t="n">
        <v>25</v>
      </c>
      <c r="P3305" t="n">
        <v>0.00465</v>
      </c>
      <c r="Q3305" t="n">
        <v>50</v>
      </c>
      <c r="R3305" t="n">
        <v>0.0547</v>
      </c>
      <c r="S3305">
        <f>IMAGE("https://mitra.stanford.edu/kundaje/oak/projects/neuro-variants/variant_position/credible/roussos_2024/variant_figures/roussos_2024.adolescence.Astrocyte/rs2400797_count_position.png",4,220,900)</f>
        <v/>
      </c>
      <c r="T3305">
        <f>IMAGE("https://mitra.stanford.edu/kundaje/oak/projects/neuro-variants/variant_position/credible/roussos_2024/variant_figures/roussos_2024.adolescence.Astrocyte/rs2400797_profile_position.png",4,220,900)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0.0198215068</v>
      </c>
      <c r="G3306" t="n">
        <v>0.54353871350136</v>
      </c>
      <c r="H3306" t="n">
        <v>0.0320205142074702</v>
      </c>
      <c r="I3306" t="n">
        <v>0.0239735770284475</v>
      </c>
      <c r="J3306" t="n">
        <v>0.0014375574874639</v>
      </c>
      <c r="K3306" t="n">
        <v>0.8580305813273554</v>
      </c>
      <c r="L3306" t="b">
        <v>0</v>
      </c>
      <c r="M3306" t="b">
        <v>0</v>
      </c>
      <c r="N3306" t="inlineStr">
        <is>
          <t>alt</t>
        </is>
      </c>
      <c r="O3306" t="n">
        <v>0</v>
      </c>
      <c r="P3306" t="n">
        <v>0</v>
      </c>
      <c r="Q3306" t="n">
        <v>-45</v>
      </c>
      <c r="R3306" t="n">
        <v>0.11456</v>
      </c>
      <c r="S3306">
        <f>IMAGE("https://mitra.stanford.edu/kundaje/oak/projects/neuro-variants/variant_position/credible/roussos_2024/variant_figures/roussos_2024.adolescence.Astrocyte/rs2400799_count_position.png",4,220,900)</f>
        <v/>
      </c>
      <c r="T3306">
        <f>IMAGE("https://mitra.stanford.edu/kundaje/oak/projects/neuro-variants/variant_position/credible/roussos_2024/variant_figures/roussos_2024.adolescence.Astrocyte/rs2400799_profile_position.png",4,220,900)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-0.0031219791599999</v>
      </c>
      <c r="G3307" t="n">
        <v>0.8251718675698895</v>
      </c>
      <c r="H3307" t="n">
        <v>0.032680416193024</v>
      </c>
      <c r="I3307" t="n">
        <v>0.0223040612175978</v>
      </c>
      <c r="J3307" t="n">
        <v>0.0002247574399904</v>
      </c>
      <c r="K3307" t="n">
        <v>0.9676255793726168</v>
      </c>
      <c r="L3307" t="b">
        <v>0</v>
      </c>
      <c r="M3307" t="b">
        <v>0</v>
      </c>
      <c r="N3307" t="inlineStr">
        <is>
          <t>ref</t>
        </is>
      </c>
      <c r="O3307" t="n">
        <v>-100</v>
      </c>
      <c r="P3307" t="n">
        <v>0.008644000000000001</v>
      </c>
      <c r="Q3307" t="n">
        <v>-55</v>
      </c>
      <c r="R3307" t="n">
        <v>0.0726</v>
      </c>
      <c r="S3307">
        <f>IMAGE("https://mitra.stanford.edu/kundaje/oak/projects/neuro-variants/variant_position/credible/roussos_2024/variant_figures/roussos_2024.adolescence.Astrocyte/rs58080162_count_position.png",4,220,900)</f>
        <v/>
      </c>
      <c r="T3307">
        <f>IMAGE("https://mitra.stanford.edu/kundaje/oak/projects/neuro-variants/variant_position/credible/roussos_2024/variant_figures/roussos_2024.adolescence.Astrocyte/rs58080162_profile_position.png",4,220,900)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-0.0867106541999999</v>
      </c>
      <c r="G3308" t="n">
        <v>0.1047211544301729</v>
      </c>
      <c r="H3308" t="n">
        <v>0.0136158105713431</v>
      </c>
      <c r="I3308" t="n">
        <v>0.4047715680365601</v>
      </c>
      <c r="J3308" t="n">
        <v>0.0001201673441533</v>
      </c>
      <c r="K3308" t="n">
        <v>0.98016467634673</v>
      </c>
      <c r="L3308" t="b">
        <v>0</v>
      </c>
      <c r="M3308" t="b">
        <v>0</v>
      </c>
      <c r="N3308" t="inlineStr">
        <is>
          <t>ref</t>
        </is>
      </c>
      <c r="O3308" t="n">
        <v>75</v>
      </c>
      <c r="P3308" t="n">
        <v>0.01153</v>
      </c>
      <c r="Q3308" t="n">
        <v>-25</v>
      </c>
      <c r="R3308" t="n">
        <v>0.05878</v>
      </c>
      <c r="S3308">
        <f>IMAGE("https://mitra.stanford.edu/kundaje/oak/projects/neuro-variants/variant_position/credible/roussos_2024/variant_figures/roussos_2024.adolescence.Astrocyte/rs10055704_count_position.png",4,220,900)</f>
        <v/>
      </c>
      <c r="T3308">
        <f>IMAGE("https://mitra.stanford.edu/kundaje/oak/projects/neuro-variants/variant_position/credible/roussos_2024/variant_figures/roussos_2024.adolescence.Astrocyte/rs10055704_profile_position.png",4,220,900)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-0.02261649224</v>
      </c>
      <c r="G3309" t="n">
        <v>0.4871173681596219</v>
      </c>
      <c r="H3309" t="n">
        <v>0.0093618836854652</v>
      </c>
      <c r="I3309" t="n">
        <v>0.8214637980200112</v>
      </c>
      <c r="J3309" t="n">
        <v>0.0038542562976589</v>
      </c>
      <c r="K3309" t="n">
        <v>0.7826197140267841</v>
      </c>
      <c r="L3309" t="b">
        <v>0</v>
      </c>
      <c r="M3309" t="b">
        <v>0</v>
      </c>
      <c r="N3309" t="inlineStr">
        <is>
          <t>ref</t>
        </is>
      </c>
      <c r="O3309" t="n">
        <v>-70</v>
      </c>
      <c r="P3309" t="n">
        <v>0.01046</v>
      </c>
      <c r="Q3309" t="n">
        <v>100</v>
      </c>
      <c r="R3309" t="n">
        <v>0.3289</v>
      </c>
      <c r="S3309">
        <f>IMAGE("https://mitra.stanford.edu/kundaje/oak/projects/neuro-variants/variant_position/credible/roussos_2024/variant_figures/roussos_2024.adolescence.Astrocyte/rs11242471_count_position.png",4,220,900)</f>
        <v/>
      </c>
      <c r="T3309">
        <f>IMAGE("https://mitra.stanford.edu/kundaje/oak/projects/neuro-variants/variant_position/credible/roussos_2024/variant_figures/roussos_2024.adolescence.Astrocyte/rs11242471_profile_position.png",4,220,900)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0.00248928</v>
      </c>
      <c r="G3310" t="n">
        <v>0.668788603153733</v>
      </c>
      <c r="H3310" t="n">
        <v>0.0151500380510817</v>
      </c>
      <c r="I3310" t="n">
        <v>0.3148827906453428</v>
      </c>
      <c r="J3310" t="n">
        <v>0.0056530575913123</v>
      </c>
      <c r="K3310" t="n">
        <v>0.7203852932145511</v>
      </c>
      <c r="L3310" t="b">
        <v>0</v>
      </c>
      <c r="M3310" t="b">
        <v>0</v>
      </c>
      <c r="N3310" t="inlineStr">
        <is>
          <t>alt</t>
        </is>
      </c>
      <c r="O3310" t="n">
        <v>-100</v>
      </c>
      <c r="P3310" t="n">
        <v>0.005386</v>
      </c>
      <c r="Q3310" t="n">
        <v>45</v>
      </c>
      <c r="R3310" t="n">
        <v>0.07403999999999999</v>
      </c>
      <c r="S3310">
        <f>IMAGE("https://mitra.stanford.edu/kundaje/oak/projects/neuro-variants/variant_position/credible/roussos_2024/variant_figures/roussos_2024.adolescence.Astrocyte/rs252810_count_position.png",4,220,900)</f>
        <v/>
      </c>
      <c r="T3310">
        <f>IMAGE("https://mitra.stanford.edu/kundaje/oak/projects/neuro-variants/variant_position/credible/roussos_2024/variant_figures/roussos_2024.adolescence.Astrocyte/rs252810_profile_position.png",4,220,900)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0.0785564844</v>
      </c>
      <c r="G3311" t="n">
        <v>0.1283781087847793</v>
      </c>
      <c r="H3311" t="n">
        <v>0.0136420510560611</v>
      </c>
      <c r="I3311" t="n">
        <v>0.4179257502710133</v>
      </c>
      <c r="J3311" t="n">
        <v>0.0160712696199151</v>
      </c>
      <c r="K3311" t="n">
        <v>0.6034994207394578</v>
      </c>
      <c r="L3311" t="b">
        <v>0</v>
      </c>
      <c r="M3311" t="b">
        <v>0</v>
      </c>
      <c r="N3311" t="inlineStr">
        <is>
          <t>alt</t>
        </is>
      </c>
      <c r="O3311" t="n">
        <v>-5</v>
      </c>
      <c r="P3311" t="n">
        <v>5.627e-05</v>
      </c>
      <c r="Q3311" t="n">
        <v>-100</v>
      </c>
      <c r="R3311" t="n">
        <v>0.06174</v>
      </c>
      <c r="S3311">
        <f>IMAGE("https://mitra.stanford.edu/kundaje/oak/projects/neuro-variants/variant_position/credible/roussos_2024/variant_figures/roussos_2024.adolescence.Astrocyte/rs152611_count_position.png",4,220,900)</f>
        <v/>
      </c>
      <c r="T3311">
        <f>IMAGE("https://mitra.stanford.edu/kundaje/oak/projects/neuro-variants/variant_position/credible/roussos_2024/variant_figures/roussos_2024.adolescence.Astrocyte/rs152611_profile_position.png",4,220,900)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0.0316082548</v>
      </c>
      <c r="G3312" t="n">
        <v>0.3823809186545522</v>
      </c>
      <c r="H3312" t="n">
        <v>0.0296207385719836</v>
      </c>
      <c r="I3312" t="n">
        <v>0.0329605187659287</v>
      </c>
      <c r="J3312" t="n">
        <v>0.0042533305640446</v>
      </c>
      <c r="K3312" t="n">
        <v>0.7619814824070236</v>
      </c>
      <c r="L3312" t="b">
        <v>0</v>
      </c>
      <c r="M3312" t="b">
        <v>0</v>
      </c>
      <c r="N3312" t="inlineStr">
        <is>
          <t>alt</t>
        </is>
      </c>
      <c r="O3312" t="n">
        <v>-100</v>
      </c>
      <c r="P3312" t="n">
        <v>0.00679</v>
      </c>
      <c r="Q3312" t="n">
        <v>80</v>
      </c>
      <c r="R3312" t="n">
        <v>0.06354</v>
      </c>
      <c r="S3312">
        <f>IMAGE("https://mitra.stanford.edu/kundaje/oak/projects/neuro-variants/variant_position/credible/roussos_2024/variant_figures/roussos_2024.adolescence.Astrocyte/rs115779_count_position.png",4,220,900)</f>
        <v/>
      </c>
      <c r="T3312">
        <f>IMAGE("https://mitra.stanford.edu/kundaje/oak/projects/neuro-variants/variant_position/credible/roussos_2024/variant_figures/roussos_2024.adolescence.Astrocyte/rs115779_profile_position.png",4,220,900)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0.007010531</v>
      </c>
      <c r="G3313" t="n">
        <v>0.5903283673420184</v>
      </c>
      <c r="H3313" t="n">
        <v>0.0264735484184307</v>
      </c>
      <c r="I3313" t="n">
        <v>0.0509476611494371</v>
      </c>
      <c r="J3313" t="n">
        <v>0.0008589739785775</v>
      </c>
      <c r="K3313" t="n">
        <v>0.8860537047188634</v>
      </c>
      <c r="L3313" t="b">
        <v>0</v>
      </c>
      <c r="M3313" t="b">
        <v>0</v>
      </c>
      <c r="N3313" t="inlineStr">
        <is>
          <t>alt</t>
        </is>
      </c>
      <c r="O3313" t="n">
        <v>40</v>
      </c>
      <c r="P3313" t="n">
        <v>0.00993</v>
      </c>
      <c r="Q3313" t="n">
        <v>40</v>
      </c>
      <c r="R3313" t="n">
        <v>0.03754</v>
      </c>
      <c r="S3313">
        <f>IMAGE("https://mitra.stanford.edu/kundaje/oak/projects/neuro-variants/variant_position/credible/roussos_2024/variant_figures/roussos_2024.adolescence.Astrocyte/rs967270_count_position.png",4,220,900)</f>
        <v/>
      </c>
      <c r="T3313">
        <f>IMAGE("https://mitra.stanford.edu/kundaje/oak/projects/neuro-variants/variant_position/credible/roussos_2024/variant_figures/roussos_2024.adolescence.Astrocyte/rs967270_profile_position.png",4,220,900)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0.026004137</v>
      </c>
      <c r="G3314" t="n">
        <v>0.4581598711916645</v>
      </c>
      <c r="H3314" t="n">
        <v>0.0081816954988008</v>
      </c>
      <c r="I3314" t="n">
        <v>0.9190557588070314</v>
      </c>
      <c r="J3314" t="n">
        <v>0.0134490994866925</v>
      </c>
      <c r="K3314" t="n">
        <v>0.6189044696292209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0.007849999999999999</v>
      </c>
      <c r="Q3314" t="n">
        <v>10</v>
      </c>
      <c r="R3314" t="n">
        <v>0.02417</v>
      </c>
      <c r="S3314">
        <f>IMAGE("https://mitra.stanford.edu/kundaje/oak/projects/neuro-variants/variant_position/credible/roussos_2024/variant_figures/roussos_2024.adolescence.Astrocyte/rs25913_count_position.png",4,220,900)</f>
        <v/>
      </c>
      <c r="T3314">
        <f>IMAGE("https://mitra.stanford.edu/kundaje/oak/projects/neuro-variants/variant_position/credible/roussos_2024/variant_figures/roussos_2024.adolescence.Astrocyte/rs25913_profile_position.png",4,220,900)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0.09958817</v>
      </c>
      <c r="G3315" t="n">
        <v>0.0821850665093497</v>
      </c>
      <c r="H3315" t="n">
        <v>0.0122726284317656</v>
      </c>
      <c r="I3315" t="n">
        <v>0.5277560037185611</v>
      </c>
      <c r="J3315" t="n">
        <v>0.0022972732397708</v>
      </c>
      <c r="K3315" t="n">
        <v>0.8184702670364359</v>
      </c>
      <c r="L3315" t="b">
        <v>0</v>
      </c>
      <c r="M3315" t="b">
        <v>0</v>
      </c>
      <c r="N3315" t="inlineStr">
        <is>
          <t>alt</t>
        </is>
      </c>
      <c r="O3315" t="n">
        <v>65</v>
      </c>
      <c r="P3315" t="n">
        <v>0.0116</v>
      </c>
      <c r="Q3315" t="n">
        <v>-100</v>
      </c>
      <c r="R3315" t="n">
        <v>0.04517</v>
      </c>
      <c r="S3315">
        <f>IMAGE("https://mitra.stanford.edu/kundaje/oak/projects/neuro-variants/variant_position/credible/roussos_2024/variant_figures/roussos_2024.adolescence.Astrocyte/rs31609_count_position.png",4,220,900)</f>
        <v/>
      </c>
      <c r="T3315">
        <f>IMAGE("https://mitra.stanford.edu/kundaje/oak/projects/neuro-variants/variant_position/credible/roussos_2024/variant_figures/roussos_2024.adolescence.Astrocyte/rs31609_profile_position.png",4,220,900)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0.001154374034</v>
      </c>
      <c r="G3316" t="n">
        <v>0.8303301059591702</v>
      </c>
      <c r="H3316" t="n">
        <v>0.037118011391028</v>
      </c>
      <c r="I3316" t="n">
        <v>0.0131162174422586</v>
      </c>
      <c r="J3316" t="n">
        <v>0.0141137287481826</v>
      </c>
      <c r="K3316" t="n">
        <v>0.6183105534194897</v>
      </c>
      <c r="L3316" t="b">
        <v>1</v>
      </c>
      <c r="M3316" t="b">
        <v>0</v>
      </c>
      <c r="N3316" t="inlineStr">
        <is>
          <t>alt</t>
        </is>
      </c>
      <c r="O3316" t="n">
        <v>-50</v>
      </c>
      <c r="P3316" t="n">
        <v>0.002502</v>
      </c>
      <c r="Q3316" t="n">
        <v>-40</v>
      </c>
      <c r="R3316" t="n">
        <v>0.02765</v>
      </c>
      <c r="S3316">
        <f>IMAGE("https://mitra.stanford.edu/kundaje/oak/projects/neuro-variants/variant_position/credible/roussos_2024/variant_figures/roussos_2024.adolescence.Astrocyte/rs31598_count_position.png",4,220,900)</f>
        <v/>
      </c>
      <c r="T3316">
        <f>IMAGE("https://mitra.stanford.edu/kundaje/oak/projects/neuro-variants/variant_position/credible/roussos_2024/variant_figures/roussos_2024.adolescence.Astrocyte/rs31598_profile_position.png",4,220,900)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0.0579057078</v>
      </c>
      <c r="G3317" t="n">
        <v>0.1990360460612374</v>
      </c>
      <c r="H3317" t="n">
        <v>0.0182286781050955</v>
      </c>
      <c r="I3317" t="n">
        <v>0.1845770300863652</v>
      </c>
      <c r="J3317" t="n">
        <v>0.0134542919027978</v>
      </c>
      <c r="K3317" t="n">
        <v>0.6270811475227217</v>
      </c>
      <c r="L3317" t="b">
        <v>0</v>
      </c>
      <c r="M3317" t="b">
        <v>0</v>
      </c>
      <c r="N3317" t="inlineStr">
        <is>
          <t>alt</t>
        </is>
      </c>
      <c r="O3317" t="n">
        <v>95</v>
      </c>
      <c r="P3317" t="n">
        <v>0.0215</v>
      </c>
      <c r="Q3317" t="n">
        <v>60</v>
      </c>
      <c r="R3317" t="n">
        <v>0.07820000000000001</v>
      </c>
      <c r="S3317">
        <f>IMAGE("https://mitra.stanford.edu/kundaje/oak/projects/neuro-variants/variant_position/credible/roussos_2024/variant_figures/roussos_2024.adolescence.Astrocyte/rs253243_count_position.png",4,220,900)</f>
        <v/>
      </c>
      <c r="T3317">
        <f>IMAGE("https://mitra.stanford.edu/kundaje/oak/projects/neuro-variants/variant_position/credible/roussos_2024/variant_figures/roussos_2024.adolescence.Astrocyte/rs253243_profile_position.png",4,220,900)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0.02599867508</v>
      </c>
      <c r="G3318" t="n">
        <v>0.4723190307785391</v>
      </c>
      <c r="H3318" t="n">
        <v>0.0299583662341979</v>
      </c>
      <c r="I3318" t="n">
        <v>0.0314349041423714</v>
      </c>
      <c r="J3318" t="n">
        <v>0.0060016912441028</v>
      </c>
      <c r="K3318" t="n">
        <v>0.7209807803228817</v>
      </c>
      <c r="L3318" t="b">
        <v>0</v>
      </c>
      <c r="M3318" t="b">
        <v>0</v>
      </c>
      <c r="N3318" t="inlineStr">
        <is>
          <t>alt</t>
        </is>
      </c>
      <c r="O3318" t="n">
        <v>30</v>
      </c>
      <c r="P3318" t="n">
        <v>0.004715</v>
      </c>
      <c r="Q3318" t="n">
        <v>-100</v>
      </c>
      <c r="R3318" t="n">
        <v>0.1559</v>
      </c>
      <c r="S3318">
        <f>IMAGE("https://mitra.stanford.edu/kundaje/oak/projects/neuro-variants/variant_position/credible/roussos_2024/variant_figures/roussos_2024.adolescence.Astrocyte/rs845739_count_position.png",4,220,900)</f>
        <v/>
      </c>
      <c r="T3318">
        <f>IMAGE("https://mitra.stanford.edu/kundaje/oak/projects/neuro-variants/variant_position/credible/roussos_2024/variant_figures/roussos_2024.adolescence.Astrocyte/rs845739_profile_position.png",4,220,900)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-0.053784727</v>
      </c>
      <c r="G3319" t="n">
        <v>0.2297133098098059</v>
      </c>
      <c r="H3319" t="n">
        <v>0.0245293456686726</v>
      </c>
      <c r="I3319" t="n">
        <v>0.0706537989862934</v>
      </c>
      <c r="J3319" t="n">
        <v>0.7792911610242411</v>
      </c>
      <c r="K3319" t="n">
        <v>0.0100335479983999</v>
      </c>
      <c r="L3319" t="b">
        <v>0</v>
      </c>
      <c r="M3319" t="b">
        <v>0</v>
      </c>
      <c r="N3319" t="inlineStr">
        <is>
          <t>ref</t>
        </is>
      </c>
      <c r="O3319" t="n">
        <v>-45</v>
      </c>
      <c r="P3319" t="n">
        <v>0.01306</v>
      </c>
      <c r="Q3319" t="n">
        <v>90</v>
      </c>
      <c r="R3319" t="n">
        <v>0.10376</v>
      </c>
      <c r="S3319">
        <f>IMAGE("https://mitra.stanford.edu/kundaje/oak/projects/neuro-variants/variant_position/credible/roussos_2024/variant_figures/roussos_2024.adolescence.Astrocyte/rs1438662_count_position.png",4,220,900)</f>
        <v/>
      </c>
      <c r="T3319">
        <f>IMAGE("https://mitra.stanford.edu/kundaje/oak/projects/neuro-variants/variant_position/credible/roussos_2024/variant_figures/roussos_2024.adolescence.Astrocyte/rs1438662_profile_position.png",4,220,900)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-0.1120696484</v>
      </c>
      <c r="G3320" t="n">
        <v>0.08666441551823049</v>
      </c>
      <c r="H3320" t="n">
        <v>0.0222539993212187</v>
      </c>
      <c r="I3320" t="n">
        <v>0.1039287402805709</v>
      </c>
      <c r="J3320" t="n">
        <v>0.0206146337121324</v>
      </c>
      <c r="K3320" t="n">
        <v>0.5866894512453446</v>
      </c>
      <c r="L3320" t="b">
        <v>0</v>
      </c>
      <c r="M3320" t="b">
        <v>0</v>
      </c>
      <c r="N3320" t="inlineStr">
        <is>
          <t>ref</t>
        </is>
      </c>
      <c r="O3320" t="n">
        <v>-30</v>
      </c>
      <c r="P3320" t="n">
        <v>0.001602</v>
      </c>
      <c r="Q3320" t="n">
        <v>-55</v>
      </c>
      <c r="R3320" t="n">
        <v>0.0781</v>
      </c>
      <c r="S3320">
        <f>IMAGE("https://mitra.stanford.edu/kundaje/oak/projects/neuro-variants/variant_position/credible/roussos_2024/variant_figures/roussos_2024.adolescence.Astrocyte/rs3819904_count_position.png",4,220,900)</f>
        <v/>
      </c>
      <c r="T3320">
        <f>IMAGE("https://mitra.stanford.edu/kundaje/oak/projects/neuro-variants/variant_position/credible/roussos_2024/variant_figures/roussos_2024.adolescence.Astrocyte/rs3819904_profile_position.png",4,220,900)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0.0230863796799999</v>
      </c>
      <c r="G3321" t="n">
        <v>0.5204860563309271</v>
      </c>
      <c r="H3321" t="n">
        <v>0.0253316479920314</v>
      </c>
      <c r="I3321" t="n">
        <v>0.0605794680161176</v>
      </c>
      <c r="J3321" t="n">
        <v>0.0307769338041123</v>
      </c>
      <c r="K3321" t="n">
        <v>0.5164212251134275</v>
      </c>
      <c r="L3321" t="b">
        <v>0</v>
      </c>
      <c r="M3321" t="b">
        <v>0</v>
      </c>
      <c r="N3321" t="inlineStr">
        <is>
          <t>alt</t>
        </is>
      </c>
      <c r="O3321" t="n">
        <v>35</v>
      </c>
      <c r="P3321" t="n">
        <v>0.02502</v>
      </c>
      <c r="Q3321" t="n">
        <v>70</v>
      </c>
      <c r="R3321" t="n">
        <v>0.11414</v>
      </c>
      <c r="S3321">
        <f>IMAGE("https://mitra.stanford.edu/kundaje/oak/projects/neuro-variants/variant_position/credible/roussos_2024/variant_figures/roussos_2024.adolescence.Astrocyte/rs1370960_count_position.png",4,220,900)</f>
        <v/>
      </c>
      <c r="T3321">
        <f>IMAGE("https://mitra.stanford.edu/kundaje/oak/projects/neuro-variants/variant_position/credible/roussos_2024/variant_figures/roussos_2024.adolescence.Astrocyte/rs1370960_profile_position.png",4,220,900)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0.118141204</v>
      </c>
      <c r="G3322" t="n">
        <v>0.061837300670608</v>
      </c>
      <c r="H3322" t="n">
        <v>0.0236879038323251</v>
      </c>
      <c r="I3322" t="n">
        <v>0.0816440390189041</v>
      </c>
      <c r="J3322" t="n">
        <v>0.0104879387591608</v>
      </c>
      <c r="K3322" t="n">
        <v>0.6634004124772288</v>
      </c>
      <c r="L3322" t="b">
        <v>0</v>
      </c>
      <c r="M3322" t="b">
        <v>0</v>
      </c>
      <c r="N3322" t="inlineStr">
        <is>
          <t>alt</t>
        </is>
      </c>
      <c r="O3322" t="n">
        <v>100</v>
      </c>
      <c r="P3322" t="n">
        <v>0.007618</v>
      </c>
      <c r="Q3322" t="n">
        <v>80</v>
      </c>
      <c r="R3322" t="n">
        <v>0.05142</v>
      </c>
      <c r="S3322">
        <f>IMAGE("https://mitra.stanford.edu/kundaje/oak/projects/neuro-variants/variant_position/credible/roussos_2024/variant_figures/roussos_2024.adolescence.Astrocyte/rs6897334_count_position.png",4,220,900)</f>
        <v/>
      </c>
      <c r="T3322">
        <f>IMAGE("https://mitra.stanford.edu/kundaje/oak/projects/neuro-variants/variant_position/credible/roussos_2024/variant_figures/roussos_2024.adolescence.Astrocyte/rs6897334_profile_position.png",4,220,900)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-0.021240789872</v>
      </c>
      <c r="G3323" t="n">
        <v>0.5181097491693842</v>
      </c>
      <c r="H3323" t="n">
        <v>0.0125137777395967</v>
      </c>
      <c r="I3323" t="n">
        <v>0.5060620122387518</v>
      </c>
      <c r="J3323" t="n">
        <v>0.0025331572857015</v>
      </c>
      <c r="K3323" t="n">
        <v>0.8123723209646351</v>
      </c>
      <c r="L3323" t="b">
        <v>0</v>
      </c>
      <c r="M3323" t="b">
        <v>0</v>
      </c>
      <c r="N3323" t="inlineStr">
        <is>
          <t>ref</t>
        </is>
      </c>
      <c r="O3323" t="n">
        <v>35</v>
      </c>
      <c r="P3323" t="n">
        <v>0.0009155</v>
      </c>
      <c r="Q3323" t="n">
        <v>85</v>
      </c>
      <c r="R3323" t="n">
        <v>0.11304</v>
      </c>
      <c r="S3323">
        <f>IMAGE("https://mitra.stanford.edu/kundaje/oak/projects/neuro-variants/variant_position/credible/roussos_2024/variant_figures/roussos_2024.adolescence.Astrocyte/rs2269201_count_position.png",4,220,900)</f>
        <v/>
      </c>
      <c r="T3323">
        <f>IMAGE("https://mitra.stanford.edu/kundaje/oak/projects/neuro-variants/variant_position/credible/roussos_2024/variant_figures/roussos_2024.adolescence.Astrocyte/rs2269201_profile_position.png",4,220,900)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0.0496634936</v>
      </c>
      <c r="G3324" t="n">
        <v>0.2443716263709034</v>
      </c>
      <c r="H3324" t="n">
        <v>0.0098108995398366</v>
      </c>
      <c r="I3324" t="n">
        <v>0.780189991714898</v>
      </c>
      <c r="J3324" t="n">
        <v>0.0006601786191139</v>
      </c>
      <c r="K3324" t="n">
        <v>0.9055914833510664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0.02637</v>
      </c>
      <c r="Q3324" t="n">
        <v>30</v>
      </c>
      <c r="R3324" t="n">
        <v>0.008545000000000001</v>
      </c>
      <c r="S3324">
        <f>IMAGE("https://mitra.stanford.edu/kundaje/oak/projects/neuro-variants/variant_position/credible/roussos_2024/variant_figures/roussos_2024.adolescence.Astrocyte/rs34387996_count_position.png",4,220,900)</f>
        <v/>
      </c>
      <c r="T3324">
        <f>IMAGE("https://mitra.stanford.edu/kundaje/oak/projects/neuro-variants/variant_position/credible/roussos_2024/variant_figures/roussos_2024.adolescence.Astrocyte/rs34387996_profile_position.png",4,220,900)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0.0257611358</v>
      </c>
      <c r="G3325" t="n">
        <v>0.4581503184424523</v>
      </c>
      <c r="H3325" t="n">
        <v>0.0326962114749459</v>
      </c>
      <c r="I3325" t="n">
        <v>0.0225130513157012</v>
      </c>
      <c r="J3325" t="n">
        <v>2.447853306827285e-05</v>
      </c>
      <c r="K3325" t="n">
        <v>0.9993343175902324</v>
      </c>
      <c r="L3325" t="b">
        <v>0</v>
      </c>
      <c r="M3325" t="b">
        <v>0</v>
      </c>
      <c r="N3325" t="inlineStr">
        <is>
          <t>alt</t>
        </is>
      </c>
      <c r="O3325" t="n">
        <v>90</v>
      </c>
      <c r="P3325" t="n">
        <v>0.00657</v>
      </c>
      <c r="Q3325" t="n">
        <v>-100</v>
      </c>
      <c r="R3325" t="n">
        <v>0.0459</v>
      </c>
      <c r="S3325">
        <f>IMAGE("https://mitra.stanford.edu/kundaje/oak/projects/neuro-variants/variant_position/credible/roussos_2024/variant_figures/roussos_2024.adolescence.Astrocyte/rs10463428_count_position.png",4,220,900)</f>
        <v/>
      </c>
      <c r="T3325">
        <f>IMAGE("https://mitra.stanford.edu/kundaje/oak/projects/neuro-variants/variant_position/credible/roussos_2024/variant_figures/roussos_2024.adolescence.Astrocyte/rs10463428_profile_position.png",4,220,900)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-0.0611012082</v>
      </c>
      <c r="G3326" t="n">
        <v>0.1740942460214052</v>
      </c>
      <c r="H3326" t="n">
        <v>0.0186053902180509</v>
      </c>
      <c r="I3326" t="n">
        <v>0.1707820767099618</v>
      </c>
      <c r="J3326" t="n">
        <v>0.0029797050707651</v>
      </c>
      <c r="K3326" t="n">
        <v>0.7895324814265542</v>
      </c>
      <c r="L3326" t="b">
        <v>0</v>
      </c>
      <c r="M3326" t="b">
        <v>0</v>
      </c>
      <c r="N3326" t="inlineStr">
        <is>
          <t>ref</t>
        </is>
      </c>
      <c r="O3326" t="n">
        <v>100</v>
      </c>
      <c r="P3326" t="n">
        <v>0.02545</v>
      </c>
      <c r="Q3326" t="n">
        <v>-100</v>
      </c>
      <c r="R3326" t="n">
        <v>0.08777</v>
      </c>
      <c r="S3326">
        <f>IMAGE("https://mitra.stanford.edu/kundaje/oak/projects/neuro-variants/variant_position/credible/roussos_2024/variant_figures/roussos_2024.adolescence.Astrocyte/rs2416217_count_position.png",4,220,900)</f>
        <v/>
      </c>
      <c r="T3326">
        <f>IMAGE("https://mitra.stanford.edu/kundaje/oak/projects/neuro-variants/variant_position/credible/roussos_2024/variant_figures/roussos_2024.adolescence.Astrocyte/rs2416217_profile_position.png",4,220,900)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-0.0134129085199999</v>
      </c>
      <c r="G3327" t="n">
        <v>0.6598649586415751</v>
      </c>
      <c r="H3327" t="n">
        <v>0.0131721714900128</v>
      </c>
      <c r="I3327" t="n">
        <v>0.4527874627470237</v>
      </c>
      <c r="J3327" t="n">
        <v>0.0029604189538022</v>
      </c>
      <c r="K3327" t="n">
        <v>0.7902868067691502</v>
      </c>
      <c r="L3327" t="b">
        <v>0</v>
      </c>
      <c r="M3327" t="b">
        <v>0</v>
      </c>
      <c r="N3327" t="inlineStr">
        <is>
          <t>ref</t>
        </is>
      </c>
      <c r="O3327" t="n">
        <v>75</v>
      </c>
      <c r="P3327" t="n">
        <v>0.02261</v>
      </c>
      <c r="Q3327" t="n">
        <v>-50</v>
      </c>
      <c r="R3327" t="n">
        <v>0.05557</v>
      </c>
      <c r="S3327">
        <f>IMAGE("https://mitra.stanford.edu/kundaje/oak/projects/neuro-variants/variant_position/credible/roussos_2024/variant_figures/roussos_2024.adolescence.Astrocyte/rs2416218_count_position.png",4,220,900)</f>
        <v/>
      </c>
      <c r="T3327">
        <f>IMAGE("https://mitra.stanford.edu/kundaje/oak/projects/neuro-variants/variant_position/credible/roussos_2024/variant_figures/roussos_2024.adolescence.Astrocyte/rs2416218_profile_position.png",4,220,900)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-0.0598913277999999</v>
      </c>
      <c r="G3328" t="n">
        <v>0.1919254096685471</v>
      </c>
      <c r="H3328" t="n">
        <v>0.0205092612912834</v>
      </c>
      <c r="I3328" t="n">
        <v>0.1252870674935543</v>
      </c>
      <c r="J3328" t="n">
        <v>0.0217399044595436</v>
      </c>
      <c r="K3328" t="n">
        <v>0.5680113770668073</v>
      </c>
      <c r="L3328" t="b">
        <v>0</v>
      </c>
      <c r="M3328" t="b">
        <v>0</v>
      </c>
      <c r="N3328" t="inlineStr">
        <is>
          <t>ref</t>
        </is>
      </c>
      <c r="O3328" t="n">
        <v>-75</v>
      </c>
      <c r="P3328" t="n">
        <v>0.005333</v>
      </c>
      <c r="Q3328" t="n">
        <v>45</v>
      </c>
      <c r="R3328" t="n">
        <v>0.0556</v>
      </c>
      <c r="S3328">
        <f>IMAGE("https://mitra.stanford.edu/kundaje/oak/projects/neuro-variants/variant_position/credible/roussos_2024/variant_figures/roussos_2024.adolescence.Astrocyte/rs3756597_count_position.png",4,220,900)</f>
        <v/>
      </c>
      <c r="T3328">
        <f>IMAGE("https://mitra.stanford.edu/kundaje/oak/projects/neuro-variants/variant_position/credible/roussos_2024/variant_figures/roussos_2024.adolescence.Astrocyte/rs3756597_profile_position.png",4,220,900)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-0.0102054175999999</v>
      </c>
      <c r="G3329" t="n">
        <v>0.1783872283184319</v>
      </c>
      <c r="H3329" t="n">
        <v>0.0220494319620874</v>
      </c>
      <c r="I3329" t="n">
        <v>0.1024680647298391</v>
      </c>
      <c r="J3329" t="n">
        <v>0.0010933744770494</v>
      </c>
      <c r="K3329" t="n">
        <v>0.9106732870014672</v>
      </c>
      <c r="L3329" t="b">
        <v>0</v>
      </c>
      <c r="M3329" t="b">
        <v>0</v>
      </c>
      <c r="N3329" t="inlineStr">
        <is>
          <t>ref</t>
        </is>
      </c>
      <c r="O3329" t="n">
        <v>80</v>
      </c>
      <c r="P3329" t="n">
        <v>0.005745</v>
      </c>
      <c r="Q3329" t="n">
        <v>-75</v>
      </c>
      <c r="R3329" t="n">
        <v>0.02344</v>
      </c>
      <c r="S3329">
        <f>IMAGE("https://mitra.stanford.edu/kundaje/oak/projects/neuro-variants/variant_position/credible/roussos_2024/variant_figures/roussos_2024.adolescence.Astrocyte/rs13187248_count_position.png",4,220,900)</f>
        <v/>
      </c>
      <c r="T3329">
        <f>IMAGE("https://mitra.stanford.edu/kundaje/oak/projects/neuro-variants/variant_position/credible/roussos_2024/variant_figures/roussos_2024.adolescence.Astrocyte/rs13187248_profile_position.png",4,220,900)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0.0348824454</v>
      </c>
      <c r="G3330" t="n">
        <v>0.3510717029456519</v>
      </c>
      <c r="H3330" t="n">
        <v>0.008280237734778401</v>
      </c>
      <c r="I3330" t="n">
        <v>0.9011422741943328</v>
      </c>
      <c r="J3330" t="n">
        <v>0.0006030620419546</v>
      </c>
      <c r="K3330" t="n">
        <v>0.9411114505570496</v>
      </c>
      <c r="L3330" t="b">
        <v>0</v>
      </c>
      <c r="M3330" t="b">
        <v>0</v>
      </c>
      <c r="N3330" t="inlineStr">
        <is>
          <t>alt</t>
        </is>
      </c>
      <c r="O3330" t="n">
        <v>-35</v>
      </c>
      <c r="P3330" t="n">
        <v>0.00621</v>
      </c>
      <c r="Q3330" t="n">
        <v>-100</v>
      </c>
      <c r="R3330" t="n">
        <v>0.1658</v>
      </c>
      <c r="S3330">
        <f>IMAGE("https://mitra.stanford.edu/kundaje/oak/projects/neuro-variants/variant_position/credible/roussos_2024/variant_figures/roussos_2024.adolescence.Astrocyte/rs13187428_count_position.png",4,220,900)</f>
        <v/>
      </c>
      <c r="T3330">
        <f>IMAGE("https://mitra.stanford.edu/kundaje/oak/projects/neuro-variants/variant_position/credible/roussos_2024/variant_figures/roussos_2024.adolescence.Astrocyte/rs13187428_profile_position.png",4,220,900)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-0.0021044805399999</v>
      </c>
      <c r="G3331" t="n">
        <v>0.6597571857868298</v>
      </c>
      <c r="H3331" t="n">
        <v>0.0377670073998929</v>
      </c>
      <c r="I3331" t="n">
        <v>0.012103523938008</v>
      </c>
      <c r="J3331" t="n">
        <v>0.0084042963534403</v>
      </c>
      <c r="K3331" t="n">
        <v>0.6786608411260805</v>
      </c>
      <c r="L3331" t="b">
        <v>0</v>
      </c>
      <c r="M3331" t="b">
        <v>0</v>
      </c>
      <c r="N3331" t="inlineStr">
        <is>
          <t>ref</t>
        </is>
      </c>
      <c r="O3331" t="n">
        <v>-75</v>
      </c>
      <c r="P3331" t="n">
        <v>0.014084</v>
      </c>
      <c r="Q3331" t="n">
        <v>35</v>
      </c>
      <c r="R3331" t="n">
        <v>0.0978</v>
      </c>
      <c r="S3331">
        <f>IMAGE("https://mitra.stanford.edu/kundaje/oak/projects/neuro-variants/variant_position/credible/roussos_2024/variant_figures/roussos_2024.adolescence.Astrocyte/rs10041575_count_position.png",4,220,900)</f>
        <v/>
      </c>
      <c r="T3331">
        <f>IMAGE("https://mitra.stanford.edu/kundaje/oak/projects/neuro-variants/variant_position/credible/roussos_2024/variant_figures/roussos_2024.adolescence.Astrocyte/rs10041575_profile_position.png",4,220,900)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0.0531108706</v>
      </c>
      <c r="G3332" t="n">
        <v>0.2439470433658067</v>
      </c>
      <c r="H3332" t="n">
        <v>0.0144503052183514</v>
      </c>
      <c r="I3332" t="n">
        <v>0.3571438999274461</v>
      </c>
      <c r="J3332" t="n">
        <v>0.0051924161053911</v>
      </c>
      <c r="K3332" t="n">
        <v>0.7448385543712853</v>
      </c>
      <c r="L3332" t="b">
        <v>0</v>
      </c>
      <c r="M3332" t="b">
        <v>0</v>
      </c>
      <c r="N3332" t="inlineStr">
        <is>
          <t>alt</t>
        </is>
      </c>
      <c r="O3332" t="n">
        <v>-10</v>
      </c>
      <c r="P3332" t="n">
        <v>0.008484</v>
      </c>
      <c r="Q3332" t="n">
        <v>-5</v>
      </c>
      <c r="R3332" t="n">
        <v>0.00818</v>
      </c>
      <c r="S3332">
        <f>IMAGE("https://mitra.stanford.edu/kundaje/oak/projects/neuro-variants/variant_position/credible/roussos_2024/variant_figures/roussos_2024.adolescence.Astrocyte/rs3753174_count_position.png",4,220,900)</f>
        <v/>
      </c>
      <c r="T3332">
        <f>IMAGE("https://mitra.stanford.edu/kundaje/oak/projects/neuro-variants/variant_position/credible/roussos_2024/variant_figures/roussos_2024.adolescence.Astrocyte/rs3753174_profile_position.png",4,220,900)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0.0203971816</v>
      </c>
      <c r="G3333" t="n">
        <v>0.5373964573893975</v>
      </c>
      <c r="H3333" t="n">
        <v>0.0272357119304786</v>
      </c>
      <c r="I3333" t="n">
        <v>0.0457378440234338</v>
      </c>
      <c r="J3333" t="n">
        <v>0.0002818740171497</v>
      </c>
      <c r="K3333" t="n">
        <v>0.94372479736073</v>
      </c>
      <c r="L3333" t="b">
        <v>0</v>
      </c>
      <c r="M3333" t="b">
        <v>0</v>
      </c>
      <c r="N3333" t="inlineStr">
        <is>
          <t>alt</t>
        </is>
      </c>
      <c r="O3333" t="n">
        <v>55</v>
      </c>
      <c r="P3333" t="n">
        <v>0.002914</v>
      </c>
      <c r="Q3333" t="n">
        <v>-50</v>
      </c>
      <c r="R3333" t="n">
        <v>0.03754</v>
      </c>
      <c r="S3333">
        <f>IMAGE("https://mitra.stanford.edu/kundaje/oak/projects/neuro-variants/variant_position/credible/roussos_2024/variant_figures/roussos_2024.adolescence.Astrocyte/rs2042164_count_position.png",4,220,900)</f>
        <v/>
      </c>
      <c r="T3333">
        <f>IMAGE("https://mitra.stanford.edu/kundaje/oak/projects/neuro-variants/variant_position/credible/roussos_2024/variant_figures/roussos_2024.adolescence.Astrocyte/rs2042164_profile_position.png",4,220,900)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0.0499241524</v>
      </c>
      <c r="G3334" t="n">
        <v>0.2413658054853294</v>
      </c>
      <c r="H3334" t="n">
        <v>0.0120995290234852</v>
      </c>
      <c r="I3334" t="n">
        <v>0.535313359265103</v>
      </c>
      <c r="J3334" t="n">
        <v>0.0001060736432958</v>
      </c>
      <c r="K3334" t="n">
        <v>0.981031448225684</v>
      </c>
      <c r="L3334" t="b">
        <v>0</v>
      </c>
      <c r="M3334" t="b">
        <v>0</v>
      </c>
      <c r="N3334" t="inlineStr">
        <is>
          <t>alt</t>
        </is>
      </c>
      <c r="O3334" t="n">
        <v>100</v>
      </c>
      <c r="P3334" t="n">
        <v>0.05203</v>
      </c>
      <c r="Q3334" t="n">
        <v>100</v>
      </c>
      <c r="R3334" t="n">
        <v>0.06320000000000001</v>
      </c>
      <c r="S3334">
        <f>IMAGE("https://mitra.stanford.edu/kundaje/oak/projects/neuro-variants/variant_position/credible/roussos_2024/variant_figures/roussos_2024.adolescence.Astrocyte/rs34595717_count_position.png",4,220,900)</f>
        <v/>
      </c>
      <c r="T3334">
        <f>IMAGE("https://mitra.stanford.edu/kundaje/oak/projects/neuro-variants/variant_position/credible/roussos_2024/variant_figures/roussos_2024.adolescence.Astrocyte/rs34595717_profile_position.png",4,220,900)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0.0277332413999999</v>
      </c>
      <c r="G3335" t="n">
        <v>0.374613766217251</v>
      </c>
      <c r="H3335" t="n">
        <v>0.0172496602579107</v>
      </c>
      <c r="I3335" t="n">
        <v>0.2204552498757109</v>
      </c>
      <c r="J3335" t="n">
        <v>0.0045752603625789</v>
      </c>
      <c r="K3335" t="n">
        <v>0.7430685921690695</v>
      </c>
      <c r="L3335" t="b">
        <v>0</v>
      </c>
      <c r="M3335" t="b">
        <v>0</v>
      </c>
      <c r="N3335" t="inlineStr">
        <is>
          <t>alt</t>
        </is>
      </c>
      <c r="O3335" t="n">
        <v>-100</v>
      </c>
      <c r="P3335" t="n">
        <v>0.008255</v>
      </c>
      <c r="Q3335" t="n">
        <v>-30</v>
      </c>
      <c r="R3335" t="n">
        <v>0.04022</v>
      </c>
      <c r="S3335">
        <f>IMAGE("https://mitra.stanford.edu/kundaje/oak/projects/neuro-variants/variant_position/credible/roussos_2024/variant_figures/roussos_2024.adolescence.Astrocyte/rs13189822_count_position.png",4,220,900)</f>
        <v/>
      </c>
      <c r="T3335">
        <f>IMAGE("https://mitra.stanford.edu/kundaje/oak/projects/neuro-variants/variant_position/credible/roussos_2024/variant_figures/roussos_2024.adolescence.Astrocyte/rs13189822_profile_position.png",4,220,900)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-0.06018085988</v>
      </c>
      <c r="G3336" t="n">
        <v>0.2316340568677057</v>
      </c>
      <c r="H3336" t="n">
        <v>0.0322697075270503</v>
      </c>
      <c r="I3336" t="n">
        <v>0.023628769729882</v>
      </c>
      <c r="J3336" t="n">
        <v>0.0362007833130581</v>
      </c>
      <c r="K3336" t="n">
        <v>0.4905717913591157</v>
      </c>
      <c r="L3336" t="b">
        <v>0</v>
      </c>
      <c r="M3336" t="b">
        <v>0</v>
      </c>
      <c r="N3336" t="inlineStr">
        <is>
          <t>ref</t>
        </is>
      </c>
      <c r="O3336" t="n">
        <v>-95</v>
      </c>
      <c r="P3336" t="n">
        <v>0.01015</v>
      </c>
      <c r="Q3336" t="n">
        <v>-95</v>
      </c>
      <c r="R3336" t="n">
        <v>0.0654</v>
      </c>
      <c r="S3336">
        <f>IMAGE("https://mitra.stanford.edu/kundaje/oak/projects/neuro-variants/variant_position/credible/roussos_2024/variant_figures/roussos_2024.adolescence.Astrocyte/rs2269205_count_position.png",4,220,900)</f>
        <v/>
      </c>
      <c r="T3336">
        <f>IMAGE("https://mitra.stanford.edu/kundaje/oak/projects/neuro-variants/variant_position/credible/roussos_2024/variant_figures/roussos_2024.adolescence.Astrocyte/rs2269205_profile_position.png",4,220,900)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-0.021403728</v>
      </c>
      <c r="G3337" t="n">
        <v>0.5217553246063106</v>
      </c>
      <c r="H3337" t="n">
        <v>0.0084481347657537</v>
      </c>
      <c r="I3337" t="n">
        <v>0.898324332429803</v>
      </c>
      <c r="J3337" t="n">
        <v>0.031021719134795</v>
      </c>
      <c r="K3337" t="n">
        <v>0.5148911746152018</v>
      </c>
      <c r="L3337" t="b">
        <v>0</v>
      </c>
      <c r="M3337" t="b">
        <v>0</v>
      </c>
      <c r="N3337" t="inlineStr">
        <is>
          <t>ref</t>
        </is>
      </c>
      <c r="O3337" t="n">
        <v>-95</v>
      </c>
      <c r="P3337" t="n">
        <v>0.01232</v>
      </c>
      <c r="Q3337" t="n">
        <v>-100</v>
      </c>
      <c r="R3337" t="n">
        <v>0.3965</v>
      </c>
      <c r="S3337">
        <f>IMAGE("https://mitra.stanford.edu/kundaje/oak/projects/neuro-variants/variant_position/credible/roussos_2024/variant_figures/roussos_2024.adolescence.Astrocyte/rs2269206_count_position.png",4,220,900)</f>
        <v/>
      </c>
      <c r="T3337">
        <f>IMAGE("https://mitra.stanford.edu/kundaje/oak/projects/neuro-variants/variant_position/credible/roussos_2024/variant_figures/roussos_2024.adolescence.Astrocyte/rs2269206_profile_position.png",4,220,900)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0.01388399366</v>
      </c>
      <c r="G3338" t="n">
        <v>0.6535746850236077</v>
      </c>
      <c r="H3338" t="n">
        <v>0.0207496699127276</v>
      </c>
      <c r="I3338" t="n">
        <v>0.1205224581956436</v>
      </c>
      <c r="J3338" t="n">
        <v>0.0693647449781918</v>
      </c>
      <c r="K3338" t="n">
        <v>0.3867678835432578</v>
      </c>
      <c r="L3338" t="b">
        <v>0</v>
      </c>
      <c r="M3338" t="b">
        <v>0</v>
      </c>
      <c r="N3338" t="inlineStr">
        <is>
          <t>alt</t>
        </is>
      </c>
      <c r="O3338" t="n">
        <v>85</v>
      </c>
      <c r="P3338" t="n">
        <v>0.001396</v>
      </c>
      <c r="Q3338" t="n">
        <v>85</v>
      </c>
      <c r="R3338" t="n">
        <v>0.1272</v>
      </c>
      <c r="S3338">
        <f>IMAGE("https://mitra.stanford.edu/kundaje/oak/projects/neuro-variants/variant_position/credible/roussos_2024/variant_figures/roussos_2024.adolescence.Astrocyte/rs2301009_count_position.png",4,220,900)</f>
        <v/>
      </c>
      <c r="T3338">
        <f>IMAGE("https://mitra.stanford.edu/kundaje/oak/projects/neuro-variants/variant_position/credible/roussos_2024/variant_figures/roussos_2024.adolescence.Astrocyte/rs2301009_profile_position.png",4,220,900)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0.00773860206</v>
      </c>
      <c r="G3339" t="n">
        <v>0.7890756503099152</v>
      </c>
      <c r="H3339" t="n">
        <v>0.0297328666690734</v>
      </c>
      <c r="I3339" t="n">
        <v>0.0324911331049789</v>
      </c>
      <c r="J3339" t="n">
        <v>0.0093203869091771</v>
      </c>
      <c r="K3339" t="n">
        <v>0.6751239566699132</v>
      </c>
      <c r="L3339" t="b">
        <v>0</v>
      </c>
      <c r="M3339" t="b">
        <v>0</v>
      </c>
      <c r="N3339" t="inlineStr">
        <is>
          <t>alt</t>
        </is>
      </c>
      <c r="O3339" t="n">
        <v>-100</v>
      </c>
      <c r="P3339" t="n">
        <v>0.01309</v>
      </c>
      <c r="Q3339" t="n">
        <v>30</v>
      </c>
      <c r="R3339" t="n">
        <v>0.07996</v>
      </c>
      <c r="S3339">
        <f>IMAGE("https://mitra.stanford.edu/kundaje/oak/projects/neuro-variants/variant_position/credible/roussos_2024/variant_figures/roussos_2024.adolescence.Astrocyte/rs1008661_count_position.png",4,220,900)</f>
        <v/>
      </c>
      <c r="T3339">
        <f>IMAGE("https://mitra.stanford.edu/kundaje/oak/projects/neuro-variants/variant_position/credible/roussos_2024/variant_figures/roussos_2024.adolescence.Astrocyte/rs1008661_profile_position.png",4,220,900)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0.060396825</v>
      </c>
      <c r="G3340" t="n">
        <v>0.1777195119010046</v>
      </c>
      <c r="H3340" t="n">
        <v>0.0128934370046307</v>
      </c>
      <c r="I3340" t="n">
        <v>0.4750438843660829</v>
      </c>
      <c r="J3340" t="n">
        <v>0.0006097380055187</v>
      </c>
      <c r="K3340" t="n">
        <v>0.9095495652419094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0.0896</v>
      </c>
      <c r="Q3340" t="n">
        <v>-100</v>
      </c>
      <c r="R3340" t="n">
        <v>0.1445</v>
      </c>
      <c r="S3340">
        <f>IMAGE("https://mitra.stanford.edu/kundaje/oak/projects/neuro-variants/variant_position/credible/roussos_2024/variant_figures/roussos_2024.adolescence.Astrocyte/rs34052755_count_position.png",4,220,900)</f>
        <v/>
      </c>
      <c r="T3340">
        <f>IMAGE("https://mitra.stanford.edu/kundaje/oak/projects/neuro-variants/variant_position/credible/roussos_2024/variant_figures/roussos_2024.adolescence.Astrocyte/rs34052755_profile_position.png",4,220,900)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-0.0852022571999999</v>
      </c>
      <c r="G3341" t="n">
        <v>0.1123235062055809</v>
      </c>
      <c r="H3341" t="n">
        <v>0.0134004733304875</v>
      </c>
      <c r="I3341" t="n">
        <v>0.4378091315163351</v>
      </c>
      <c r="J3341" t="n">
        <v>0.0037912055306648</v>
      </c>
      <c r="K3341" t="n">
        <v>0.7837997917927823</v>
      </c>
      <c r="L3341" t="b">
        <v>0</v>
      </c>
      <c r="M3341" t="b">
        <v>0</v>
      </c>
      <c r="N3341" t="inlineStr">
        <is>
          <t>ref</t>
        </is>
      </c>
      <c r="O3341" t="n">
        <v>-40</v>
      </c>
      <c r="P3341" t="n">
        <v>0.004536</v>
      </c>
      <c r="Q3341" t="n">
        <v>25</v>
      </c>
      <c r="R3341" t="n">
        <v>0.0481</v>
      </c>
      <c r="S3341">
        <f>IMAGE("https://mitra.stanford.edu/kundaje/oak/projects/neuro-variants/variant_position/credible/roussos_2024/variant_figures/roussos_2024.adolescence.Astrocyte/rs4141495_count_position.png",4,220,900)</f>
        <v/>
      </c>
      <c r="T3341">
        <f>IMAGE("https://mitra.stanford.edu/kundaje/oak/projects/neuro-variants/variant_position/credible/roussos_2024/variant_figures/roussos_2024.adolescence.Astrocyte/rs4141495_profile_position.png",4,220,900)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0.0199590656</v>
      </c>
      <c r="G3342" t="n">
        <v>0.5515135856108219</v>
      </c>
      <c r="H3342" t="n">
        <v>0.008730317758126899</v>
      </c>
      <c r="I3342" t="n">
        <v>0.8793505465629462</v>
      </c>
      <c r="J3342" t="n">
        <v>0.0306456398540188</v>
      </c>
      <c r="K3342" t="n">
        <v>0.5348926420915056</v>
      </c>
      <c r="L3342" t="b">
        <v>0</v>
      </c>
      <c r="M3342" t="b">
        <v>0</v>
      </c>
      <c r="N3342" t="inlineStr">
        <is>
          <t>alt</t>
        </is>
      </c>
      <c r="O3342" t="n">
        <v>-100</v>
      </c>
      <c r="P3342" t="n">
        <v>0.06850000000000001</v>
      </c>
      <c r="Q3342" t="n">
        <v>-100</v>
      </c>
      <c r="R3342" t="n">
        <v>0.156</v>
      </c>
      <c r="S3342">
        <f>IMAGE("https://mitra.stanford.edu/kundaje/oak/projects/neuro-variants/variant_position/credible/roussos_2024/variant_figures/roussos_2024.adolescence.Astrocyte/rs10515405_count_position.png",4,220,900)</f>
        <v/>
      </c>
      <c r="T3342">
        <f>IMAGE("https://mitra.stanford.edu/kundaje/oak/projects/neuro-variants/variant_position/credible/roussos_2024/variant_figures/roussos_2024.adolescence.Astrocyte/rs10515405_profile_position.png",4,220,900)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0.0027660604</v>
      </c>
      <c r="G3343" t="n">
        <v>0.0888972117293961</v>
      </c>
      <c r="H3343" t="n">
        <v>0.0199996571466333</v>
      </c>
      <c r="I3343" t="n">
        <v>0.1395724419372307</v>
      </c>
      <c r="J3343" t="n">
        <v>0.2175503664362223</v>
      </c>
      <c r="K3343" t="n">
        <v>0.1882388135372811</v>
      </c>
      <c r="L3343" t="b">
        <v>0</v>
      </c>
      <c r="M3343" t="b">
        <v>0</v>
      </c>
      <c r="N3343" t="inlineStr">
        <is>
          <t>alt</t>
        </is>
      </c>
      <c r="O3343" t="n">
        <v>-65</v>
      </c>
      <c r="P3343" t="n">
        <v>0.01451</v>
      </c>
      <c r="Q3343" t="n">
        <v>65</v>
      </c>
      <c r="R3343" t="n">
        <v>0.1396</v>
      </c>
      <c r="S3343">
        <f>IMAGE("https://mitra.stanford.edu/kundaje/oak/projects/neuro-variants/variant_position/credible/roussos_2024/variant_figures/roussos_2024.adolescence.Astrocyte/rs12518625_count_position.png",4,220,900)</f>
        <v/>
      </c>
      <c r="T3343">
        <f>IMAGE("https://mitra.stanford.edu/kundaje/oak/projects/neuro-variants/variant_position/credible/roussos_2024/variant_figures/roussos_2024.adolescence.Astrocyte/rs12518625_profile_position.png",4,220,900)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-0.1034658436</v>
      </c>
      <c r="G3344" t="n">
        <v>0.1041844966277456</v>
      </c>
      <c r="H3344" t="n">
        <v>0.0182907550976083</v>
      </c>
      <c r="I3344" t="n">
        <v>0.1937846294600671</v>
      </c>
      <c r="J3344" t="n">
        <v>0.0058340503812716</v>
      </c>
      <c r="K3344" t="n">
        <v>0.7223353834354991</v>
      </c>
      <c r="L3344" t="b">
        <v>0</v>
      </c>
      <c r="M3344" t="b">
        <v>0</v>
      </c>
      <c r="N3344" t="inlineStr">
        <is>
          <t>ref</t>
        </is>
      </c>
      <c r="O3344" t="n">
        <v>85</v>
      </c>
      <c r="P3344" t="n">
        <v>0.002316</v>
      </c>
      <c r="Q3344" t="n">
        <v>100</v>
      </c>
      <c r="R3344" t="n">
        <v>0.07654</v>
      </c>
      <c r="S3344">
        <f>IMAGE("https://mitra.stanford.edu/kundaje/oak/projects/neuro-variants/variant_position/credible/roussos_2024/variant_figures/roussos_2024.adolescence.Astrocyte/rs10065099_count_position.png",4,220,900)</f>
        <v/>
      </c>
      <c r="T3344">
        <f>IMAGE("https://mitra.stanford.edu/kundaje/oak/projects/neuro-variants/variant_position/credible/roussos_2024/variant_figures/roussos_2024.adolescence.Astrocyte/rs10065099_profile_position.png",4,220,900)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-0.02137009912</v>
      </c>
      <c r="G3345" t="n">
        <v>0.4114376817630019</v>
      </c>
      <c r="H3345" t="n">
        <v>0.0106117889118908</v>
      </c>
      <c r="I3345" t="n">
        <v>0.7008795102068598</v>
      </c>
      <c r="J3345" t="n">
        <v>0.0333412455864462</v>
      </c>
      <c r="K3345" t="n">
        <v>0.4983520476160203</v>
      </c>
      <c r="L3345" t="b">
        <v>0</v>
      </c>
      <c r="M3345" t="b">
        <v>0</v>
      </c>
      <c r="N3345" t="inlineStr">
        <is>
          <t>ref</t>
        </is>
      </c>
      <c r="O3345" t="n">
        <v>55</v>
      </c>
      <c r="P3345" t="n">
        <v>0.0525</v>
      </c>
      <c r="Q3345" t="n">
        <v>35</v>
      </c>
      <c r="R3345" t="n">
        <v>0.03198</v>
      </c>
      <c r="S3345">
        <f>IMAGE("https://mitra.stanford.edu/kundaje/oak/projects/neuro-variants/variant_position/credible/roussos_2024/variant_figures/roussos_2024.adolescence.Astrocyte/rs17162347_count_position.png",4,220,900)</f>
        <v/>
      </c>
      <c r="T3345">
        <f>IMAGE("https://mitra.stanford.edu/kundaje/oak/projects/neuro-variants/variant_position/credible/roussos_2024/variant_figures/roussos_2024.adolescence.Astrocyte/rs17162347_profile_position.png",4,220,900)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-0.005321413</v>
      </c>
      <c r="G3346" t="n">
        <v>0.8281785367427456</v>
      </c>
      <c r="H3346" t="n">
        <v>0.039094888345638</v>
      </c>
      <c r="I3346" t="n">
        <v>0.0105964007357473</v>
      </c>
      <c r="J3346" t="n">
        <v>0.0021259235082929</v>
      </c>
      <c r="K3346" t="n">
        <v>0.8176414703315089</v>
      </c>
      <c r="L3346" t="b">
        <v>0</v>
      </c>
      <c r="M3346" t="b">
        <v>0</v>
      </c>
      <c r="N3346" t="inlineStr">
        <is>
          <t>ref</t>
        </is>
      </c>
      <c r="O3346" t="n">
        <v>30</v>
      </c>
      <c r="P3346" t="n">
        <v>0.0006713999999999999</v>
      </c>
      <c r="Q3346" t="n">
        <v>-100</v>
      </c>
      <c r="R3346" t="n">
        <v>0.0939</v>
      </c>
      <c r="S3346">
        <f>IMAGE("https://mitra.stanford.edu/kundaje/oak/projects/neuro-variants/variant_position/credible/roussos_2024/variant_figures/roussos_2024.adolescence.Astrocyte/rs12187114_count_position.png",4,220,900)</f>
        <v/>
      </c>
      <c r="T3346">
        <f>IMAGE("https://mitra.stanford.edu/kundaje/oak/projects/neuro-variants/variant_position/credible/roussos_2024/variant_figures/roussos_2024.adolescence.Astrocyte/rs12187114_profile_position.png",4,220,900)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0.002548716248</v>
      </c>
      <c r="G3347" t="n">
        <v>0.830786839582747</v>
      </c>
      <c r="H3347" t="n">
        <v>0.0162314397821813</v>
      </c>
      <c r="I3347" t="n">
        <v>0.2604033874474611</v>
      </c>
      <c r="J3347" t="n">
        <v>0.0021103462599768</v>
      </c>
      <c r="K3347" t="n">
        <v>0.8184517609567571</v>
      </c>
      <c r="L3347" t="b">
        <v>0</v>
      </c>
      <c r="M3347" t="b">
        <v>0</v>
      </c>
      <c r="N3347" t="inlineStr">
        <is>
          <t>alt</t>
        </is>
      </c>
      <c r="O3347" t="n">
        <v>55</v>
      </c>
      <c r="P3347" t="n">
        <v>0.001862</v>
      </c>
      <c r="Q3347" t="n">
        <v>-50</v>
      </c>
      <c r="R3347" t="n">
        <v>0.0469</v>
      </c>
      <c r="S3347">
        <f>IMAGE("https://mitra.stanford.edu/kundaje/oak/projects/neuro-variants/variant_position/credible/roussos_2024/variant_figures/roussos_2024.adolescence.Astrocyte/rs11241042_count_position.png",4,220,900)</f>
        <v/>
      </c>
      <c r="T3347">
        <f>IMAGE("https://mitra.stanford.edu/kundaje/oak/projects/neuro-variants/variant_position/credible/roussos_2024/variant_figures/roussos_2024.adolescence.Astrocyte/rs11241042_profile_position.png",4,220,900)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0.185857594</v>
      </c>
      <c r="G3348" t="n">
        <v>0.0217320090235596</v>
      </c>
      <c r="H3348" t="n">
        <v>0.0189988551867779</v>
      </c>
      <c r="I3348" t="n">
        <v>0.1623016265442101</v>
      </c>
      <c r="J3348" t="n">
        <v>0.0301501350028186</v>
      </c>
      <c r="K3348" t="n">
        <v>0.543733882592547</v>
      </c>
      <c r="L3348" t="b">
        <v>0</v>
      </c>
      <c r="M3348" t="b">
        <v>0</v>
      </c>
      <c r="N3348" t="inlineStr">
        <is>
          <t>alt</t>
        </is>
      </c>
      <c r="O3348" t="n">
        <v>-15</v>
      </c>
      <c r="P3348" t="n">
        <v>0.001755</v>
      </c>
      <c r="Q3348" t="n">
        <v>50</v>
      </c>
      <c r="R3348" t="n">
        <v>0.1378</v>
      </c>
      <c r="S3348">
        <f>IMAGE("https://mitra.stanford.edu/kundaje/oak/projects/neuro-variants/variant_position/credible/roussos_2024/variant_figures/roussos_2024.adolescence.Astrocyte/rs12656279_count_position.png",4,220,900)</f>
        <v/>
      </c>
      <c r="T3348">
        <f>IMAGE("https://mitra.stanford.edu/kundaje/oak/projects/neuro-variants/variant_position/credible/roussos_2024/variant_figures/roussos_2024.adolescence.Astrocyte/rs12656279_profile_position.png",4,220,900)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0.0087057932999999</v>
      </c>
      <c r="G3349" t="n">
        <v>0.7691379684752048</v>
      </c>
      <c r="H3349" t="n">
        <v>0.0270687246575926</v>
      </c>
      <c r="I3349" t="n">
        <v>0.0478818759815164</v>
      </c>
      <c r="J3349" t="n">
        <v>0.0278202237189566</v>
      </c>
      <c r="K3349" t="n">
        <v>0.5404108250681409</v>
      </c>
      <c r="L3349" t="b">
        <v>0</v>
      </c>
      <c r="M3349" t="b">
        <v>0</v>
      </c>
      <c r="N3349" t="inlineStr">
        <is>
          <t>alt</t>
        </is>
      </c>
      <c r="O3349" t="n">
        <v>-60</v>
      </c>
      <c r="P3349" t="n">
        <v>0.0227</v>
      </c>
      <c r="Q3349" t="n">
        <v>-60</v>
      </c>
      <c r="R3349" t="n">
        <v>0.192</v>
      </c>
      <c r="S3349">
        <f>IMAGE("https://mitra.stanford.edu/kundaje/oak/projects/neuro-variants/variant_position/credible/roussos_2024/variant_figures/roussos_2024.adolescence.Astrocyte/rs6888436_count_position.png",4,220,900)</f>
        <v/>
      </c>
      <c r="T3349">
        <f>IMAGE("https://mitra.stanford.edu/kundaje/oak/projects/neuro-variants/variant_position/credible/roussos_2024/variant_figures/roussos_2024.adolescence.Astrocyte/rs6888436_profile_position.png",4,220,900)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0.0752244116</v>
      </c>
      <c r="G3350" t="n">
        <v>0.1379985509295693</v>
      </c>
      <c r="H3350" t="n">
        <v>0.0200365290060329</v>
      </c>
      <c r="I3350" t="n">
        <v>0.1367176643564246</v>
      </c>
      <c r="J3350" t="n">
        <v>0.173660356644809</v>
      </c>
      <c r="K3350" t="n">
        <v>0.2320994624570909</v>
      </c>
      <c r="L3350" t="b">
        <v>0</v>
      </c>
      <c r="M3350" t="b">
        <v>0</v>
      </c>
      <c r="N3350" t="inlineStr">
        <is>
          <t>alt</t>
        </is>
      </c>
      <c r="O3350" t="n">
        <v>45</v>
      </c>
      <c r="P3350" t="n">
        <v>0.00775</v>
      </c>
      <c r="Q3350" t="n">
        <v>15</v>
      </c>
      <c r="R3350" t="n">
        <v>0.042</v>
      </c>
      <c r="S3350">
        <f>IMAGE("https://mitra.stanford.edu/kundaje/oak/projects/neuro-variants/variant_position/credible/roussos_2024/variant_figures/roussos_2024.adolescence.Astrocyte/rs1848554_count_position.png",4,220,900)</f>
        <v/>
      </c>
      <c r="T3350">
        <f>IMAGE("https://mitra.stanford.edu/kundaje/oak/projects/neuro-variants/variant_position/credible/roussos_2024/variant_figures/roussos_2024.adolescence.Astrocyte/rs1848554_profile_position.png",4,220,900)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0.0295607829</v>
      </c>
      <c r="G3351" t="n">
        <v>0.4457883442289787</v>
      </c>
      <c r="H3351" t="n">
        <v>0.0293473028983179</v>
      </c>
      <c r="I3351" t="n">
        <v>0.034278829664118</v>
      </c>
      <c r="J3351" t="n">
        <v>0.0084020710322522</v>
      </c>
      <c r="K3351" t="n">
        <v>0.7525271217438003</v>
      </c>
      <c r="L3351" t="b">
        <v>0</v>
      </c>
      <c r="M3351" t="b">
        <v>0</v>
      </c>
      <c r="N3351" t="inlineStr">
        <is>
          <t>alt</t>
        </is>
      </c>
      <c r="O3351" t="n">
        <v>60</v>
      </c>
      <c r="P3351" t="n">
        <v>0.005054</v>
      </c>
      <c r="Q3351" t="n">
        <v>-100</v>
      </c>
      <c r="R3351" t="n">
        <v>0.2542</v>
      </c>
      <c r="S3351">
        <f>IMAGE("https://mitra.stanford.edu/kundaje/oak/projects/neuro-variants/variant_position/credible/roussos_2024/variant_figures/roussos_2024.adolescence.Astrocyte/rs32643_count_position.png",4,220,900)</f>
        <v/>
      </c>
      <c r="T3351">
        <f>IMAGE("https://mitra.stanford.edu/kundaje/oak/projects/neuro-variants/variant_position/credible/roussos_2024/variant_figures/roussos_2024.adolescence.Astrocyte/rs32643_profile_position.png",4,220,900)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-0.0073096507999999</v>
      </c>
      <c r="G3352" t="n">
        <v>0.3327154591754816</v>
      </c>
      <c r="H3352" t="n">
        <v>0.01330898824292</v>
      </c>
      <c r="I3352" t="n">
        <v>0.4496431557859291</v>
      </c>
      <c r="J3352" t="n">
        <v>0.0504168768358899</v>
      </c>
      <c r="K3352" t="n">
        <v>0.4363462441330794</v>
      </c>
      <c r="L3352" t="b">
        <v>0</v>
      </c>
      <c r="M3352" t="b">
        <v>0</v>
      </c>
      <c r="N3352" t="inlineStr">
        <is>
          <t>ref</t>
        </is>
      </c>
      <c r="O3352" t="n">
        <v>10</v>
      </c>
      <c r="P3352" t="n">
        <v>0.000798</v>
      </c>
      <c r="Q3352" t="n">
        <v>-100</v>
      </c>
      <c r="R3352" t="n">
        <v>0.139</v>
      </c>
      <c r="S3352">
        <f>IMAGE("https://mitra.stanford.edu/kundaje/oak/projects/neuro-variants/variant_position/credible/roussos_2024/variant_figures/roussos_2024.adolescence.Astrocyte/rs11956061_count_position.png",4,220,900)</f>
        <v/>
      </c>
      <c r="T3352">
        <f>IMAGE("https://mitra.stanford.edu/kundaje/oak/projects/neuro-variants/variant_position/credible/roussos_2024/variant_figures/roussos_2024.adolescence.Astrocyte/rs11956061_profile_position.png",4,220,900)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-0.025635333306</v>
      </c>
      <c r="G3353" t="n">
        <v>0.4672716675028577</v>
      </c>
      <c r="H3353" t="n">
        <v>0.0076499345725481</v>
      </c>
      <c r="I3353" t="n">
        <v>0.947520734068152</v>
      </c>
      <c r="J3353" t="n">
        <v>0.3001312939500934</v>
      </c>
      <c r="K3353" t="n">
        <v>0.1341876663156765</v>
      </c>
      <c r="L3353" t="b">
        <v>0</v>
      </c>
      <c r="M3353" t="b">
        <v>0</v>
      </c>
      <c r="N3353" t="inlineStr">
        <is>
          <t>ref</t>
        </is>
      </c>
      <c r="O3353" t="n">
        <v>100</v>
      </c>
      <c r="P3353" t="n">
        <v>0.01637</v>
      </c>
      <c r="Q3353" t="n">
        <v>60</v>
      </c>
      <c r="R3353" t="n">
        <v>0.1604</v>
      </c>
      <c r="S3353">
        <f>IMAGE("https://mitra.stanford.edu/kundaje/oak/projects/neuro-variants/variant_position/credible/roussos_2024/variant_figures/roussos_2024.adolescence.Astrocyte/rs4836307_count_position.png",4,220,900)</f>
        <v/>
      </c>
      <c r="T3353">
        <f>IMAGE("https://mitra.stanford.edu/kundaje/oak/projects/neuro-variants/variant_position/credible/roussos_2024/variant_figures/roussos_2024.adolescence.Astrocyte/rs4836307_profile_position.png",4,220,900)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0.0430903932</v>
      </c>
      <c r="G3354" t="n">
        <v>0.2913469183323282</v>
      </c>
      <c r="H3354" t="n">
        <v>0.0176832029667666</v>
      </c>
      <c r="I3354" t="n">
        <v>0.2050773530705208</v>
      </c>
      <c r="J3354" t="n">
        <v>0.0181200486603566</v>
      </c>
      <c r="K3354" t="n">
        <v>0.605095132741882</v>
      </c>
      <c r="L3354" t="b">
        <v>0</v>
      </c>
      <c r="M3354" t="b">
        <v>0</v>
      </c>
      <c r="N3354" t="inlineStr">
        <is>
          <t>alt</t>
        </is>
      </c>
      <c r="O3354" t="n">
        <v>50</v>
      </c>
      <c r="P3354" t="n">
        <v>0.00495</v>
      </c>
      <c r="Q3354" t="n">
        <v>-50</v>
      </c>
      <c r="R3354" t="n">
        <v>0.168</v>
      </c>
      <c r="S3354">
        <f>IMAGE("https://mitra.stanford.edu/kundaje/oak/projects/neuro-variants/variant_position/credible/roussos_2024/variant_figures/roussos_2024.adolescence.Astrocyte/rs12657369_count_position.png",4,220,900)</f>
        <v/>
      </c>
      <c r="T3354">
        <f>IMAGE("https://mitra.stanford.edu/kundaje/oak/projects/neuro-variants/variant_position/credible/roussos_2024/variant_figures/roussos_2024.adolescence.Astrocyte/rs12657369_profile_position.png",4,220,900)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0.11843949</v>
      </c>
      <c r="G3355" t="n">
        <v>0.0654522846295877</v>
      </c>
      <c r="H3355" t="n">
        <v>0.0229253276274572</v>
      </c>
      <c r="I3355" t="n">
        <v>0.0928602007487529</v>
      </c>
      <c r="J3355" t="n">
        <v>0.0159281072901521</v>
      </c>
      <c r="K3355" t="n">
        <v>0.604416522144264</v>
      </c>
      <c r="L3355" t="b">
        <v>0</v>
      </c>
      <c r="M3355" t="b">
        <v>0</v>
      </c>
      <c r="N3355" t="inlineStr">
        <is>
          <t>alt</t>
        </is>
      </c>
      <c r="O3355" t="n">
        <v>-85</v>
      </c>
      <c r="P3355" t="n">
        <v>0.00514</v>
      </c>
      <c r="Q3355" t="n">
        <v>80</v>
      </c>
      <c r="R3355" t="n">
        <v>0.03537</v>
      </c>
      <c r="S3355">
        <f>IMAGE("https://mitra.stanford.edu/kundaje/oak/projects/neuro-variants/variant_position/credible/roussos_2024/variant_figures/roussos_2024.adolescence.Astrocyte/rs10057084_count_position.png",4,220,900)</f>
        <v/>
      </c>
      <c r="T3355">
        <f>IMAGE("https://mitra.stanford.edu/kundaje/oak/projects/neuro-variants/variant_position/credible/roussos_2024/variant_figures/roussos_2024.adolescence.Astrocyte/rs10057084_profile_position.png",4,220,900)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-0.145472506</v>
      </c>
      <c r="G3356" t="n">
        <v>0.0268855278094855</v>
      </c>
      <c r="H3356" t="n">
        <v>0.0296313386829411</v>
      </c>
      <c r="I3356" t="n">
        <v>0.0361360733381701</v>
      </c>
      <c r="J3356" t="n">
        <v>0.3079992878972198</v>
      </c>
      <c r="K3356" t="n">
        <v>0.131577225911361</v>
      </c>
      <c r="L3356" t="b">
        <v>0</v>
      </c>
      <c r="M3356" t="b">
        <v>0</v>
      </c>
      <c r="N3356" t="inlineStr">
        <is>
          <t>ref</t>
        </is>
      </c>
      <c r="O3356" t="n">
        <v>-50</v>
      </c>
      <c r="P3356" t="n">
        <v>0.002625</v>
      </c>
      <c r="Q3356" t="n">
        <v>90</v>
      </c>
      <c r="R3356" t="n">
        <v>0.1768</v>
      </c>
      <c r="S3356">
        <f>IMAGE("https://mitra.stanford.edu/kundaje/oak/projects/neuro-variants/variant_position/credible/roussos_2024/variant_figures/roussos_2024.adolescence.Astrocyte/rs9327428_count_position.png",4,220,900)</f>
        <v/>
      </c>
      <c r="T3356">
        <f>IMAGE("https://mitra.stanford.edu/kundaje/oak/projects/neuro-variants/variant_position/credible/roussos_2024/variant_figures/roussos_2024.adolescence.Astrocyte/rs9327428_profile_position.png",4,220,900)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-0.0501990408</v>
      </c>
      <c r="G3357" t="n">
        <v>0.2478016131939907</v>
      </c>
      <c r="H3357" t="n">
        <v>0.0468773281823296</v>
      </c>
      <c r="I3357" t="n">
        <v>0.0050540413051456</v>
      </c>
      <c r="J3357" t="n">
        <v>0.0137754799276028</v>
      </c>
      <c r="K3357" t="n">
        <v>0.6375741351528974</v>
      </c>
      <c r="L3357" t="b">
        <v>1</v>
      </c>
      <c r="M3357" t="b">
        <v>0</v>
      </c>
      <c r="N3357" t="inlineStr">
        <is>
          <t>ref</t>
        </is>
      </c>
      <c r="O3357" t="n">
        <v>45</v>
      </c>
      <c r="P3357" t="n">
        <v>0.003677</v>
      </c>
      <c r="Q3357" t="n">
        <v>65</v>
      </c>
      <c r="R3357" t="n">
        <v>0.1333</v>
      </c>
      <c r="S3357">
        <f>IMAGE("https://mitra.stanford.edu/kundaje/oak/projects/neuro-variants/variant_position/credible/roussos_2024/variant_figures/roussos_2024.adolescence.Astrocyte/rs2108458_count_position.png",4,220,900)</f>
        <v/>
      </c>
      <c r="T3357">
        <f>IMAGE("https://mitra.stanford.edu/kundaje/oak/projects/neuro-variants/variant_position/credible/roussos_2024/variant_figures/roussos_2024.adolescence.Astrocyte/rs2108458_profile_position.png",4,220,900)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-0.09131496759999989</v>
      </c>
      <c r="G3358" t="n">
        <v>0.1039517807631551</v>
      </c>
      <c r="H3358" t="n">
        <v>0.0155357456813548</v>
      </c>
      <c r="I3358" t="n">
        <v>0.2953576172097792</v>
      </c>
      <c r="J3358" t="n">
        <v>0.0252351422722012</v>
      </c>
      <c r="K3358" t="n">
        <v>0.5409840384848911</v>
      </c>
      <c r="L3358" t="b">
        <v>0</v>
      </c>
      <c r="M3358" t="b">
        <v>0</v>
      </c>
      <c r="N3358" t="inlineStr">
        <is>
          <t>ref</t>
        </is>
      </c>
      <c r="O3358" t="n">
        <v>-95</v>
      </c>
      <c r="P3358" t="n">
        <v>0.001892</v>
      </c>
      <c r="Q3358" t="n">
        <v>-95</v>
      </c>
      <c r="R3358" t="n">
        <v>0.0857</v>
      </c>
      <c r="S3358">
        <f>IMAGE("https://mitra.stanford.edu/kundaje/oak/projects/neuro-variants/variant_position/credible/roussos_2024/variant_figures/roussos_2024.adolescence.Astrocyte/rs7706333_count_position.png",4,220,900)</f>
        <v/>
      </c>
      <c r="T3358">
        <f>IMAGE("https://mitra.stanford.edu/kundaje/oak/projects/neuro-variants/variant_position/credible/roussos_2024/variant_figures/roussos_2024.adolescence.Astrocyte/rs7706333_profile_position.png",4,220,900)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-0.0464099792</v>
      </c>
      <c r="G3359" t="n">
        <v>0.2553197141854364</v>
      </c>
      <c r="H3359" t="n">
        <v>0.0117922263243359</v>
      </c>
      <c r="I3359" t="n">
        <v>0.5748012893220512</v>
      </c>
      <c r="J3359" t="n">
        <v>0.1069756401507284</v>
      </c>
      <c r="K3359" t="n">
        <v>0.3135196616636873</v>
      </c>
      <c r="L3359" t="b">
        <v>0</v>
      </c>
      <c r="M3359" t="b">
        <v>0</v>
      </c>
      <c r="N3359" t="inlineStr">
        <is>
          <t>ref</t>
        </is>
      </c>
      <c r="O3359" t="n">
        <v>60</v>
      </c>
      <c r="P3359" t="n">
        <v>0.004505</v>
      </c>
      <c r="Q3359" t="n">
        <v>80</v>
      </c>
      <c r="R3359" t="n">
        <v>0.10205</v>
      </c>
      <c r="S3359">
        <f>IMAGE("https://mitra.stanford.edu/kundaje/oak/projects/neuro-variants/variant_position/credible/roussos_2024/variant_figures/roussos_2024.adolescence.Astrocyte/rs1013662_count_position.png",4,220,900)</f>
        <v/>
      </c>
      <c r="T3359">
        <f>IMAGE("https://mitra.stanford.edu/kundaje/oak/projects/neuro-variants/variant_position/credible/roussos_2024/variant_figures/roussos_2024.adolescence.Astrocyte/rs1013662_profile_position.png",4,220,900)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0.10822879</v>
      </c>
      <c r="G3360" t="n">
        <v>0.066360249608439</v>
      </c>
      <c r="H3360" t="n">
        <v>0.0200687475009375</v>
      </c>
      <c r="I3360" t="n">
        <v>0.1347626032499903</v>
      </c>
      <c r="J3360" t="n">
        <v>0.0101763937928373</v>
      </c>
      <c r="K3360" t="n">
        <v>0.6997917173082511</v>
      </c>
      <c r="L3360" t="b">
        <v>0</v>
      </c>
      <c r="M3360" t="b">
        <v>0</v>
      </c>
      <c r="N3360" t="inlineStr">
        <is>
          <t>alt</t>
        </is>
      </c>
      <c r="O3360" t="n">
        <v>-45</v>
      </c>
      <c r="P3360" t="n">
        <v>0.004612</v>
      </c>
      <c r="Q3360" t="n">
        <v>100</v>
      </c>
      <c r="R3360" t="n">
        <v>0.10376</v>
      </c>
      <c r="S3360">
        <f>IMAGE("https://mitra.stanford.edu/kundaje/oak/projects/neuro-variants/variant_position/credible/roussos_2024/variant_figures/roussos_2024.adolescence.Astrocyte/rs6899133_count_position.png",4,220,900)</f>
        <v/>
      </c>
      <c r="T3360">
        <f>IMAGE("https://mitra.stanford.edu/kundaje/oak/projects/neuro-variants/variant_position/credible/roussos_2024/variant_figures/roussos_2024.adolescence.Astrocyte/rs6899133_profile_position.png",4,220,900)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-0.1443315936</v>
      </c>
      <c r="G3361" t="n">
        <v>0.0534732164705042</v>
      </c>
      <c r="H3361" t="n">
        <v>0.0247017374583332</v>
      </c>
      <c r="I3361" t="n">
        <v>0.077208546851531</v>
      </c>
      <c r="J3361" t="n">
        <v>0.7877637005607808</v>
      </c>
      <c r="K3361" t="n">
        <v>0.008970338001820601</v>
      </c>
      <c r="L3361" t="b">
        <v>0</v>
      </c>
      <c r="M3361" t="b">
        <v>0</v>
      </c>
      <c r="N3361" t="inlineStr">
        <is>
          <t>ref</t>
        </is>
      </c>
      <c r="O3361" t="n">
        <v>-50</v>
      </c>
      <c r="P3361" t="n">
        <v>0.005646</v>
      </c>
      <c r="Q3361" t="n">
        <v>-55</v>
      </c>
      <c r="R3361" t="n">
        <v>0.0786</v>
      </c>
      <c r="S3361">
        <f>IMAGE("https://mitra.stanford.edu/kundaje/oak/projects/neuro-variants/variant_position/credible/roussos_2024/variant_figures/roussos_2024.adolescence.Astrocyte/rs13154281_count_position.png",4,220,900)</f>
        <v/>
      </c>
      <c r="T3361">
        <f>IMAGE("https://mitra.stanford.edu/kundaje/oak/projects/neuro-variants/variant_position/credible/roussos_2024/variant_figures/roussos_2024.adolescence.Astrocyte/rs13154281_profile_position.png",4,220,900)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-0.252817898</v>
      </c>
      <c r="G3362" t="n">
        <v>0.0100248481076839</v>
      </c>
      <c r="H3362" t="n">
        <v>0.0394338120847199</v>
      </c>
      <c r="I3362" t="n">
        <v>0.0111074880590665</v>
      </c>
      <c r="J3362" t="n">
        <v>0.1349738895647271</v>
      </c>
      <c r="K3362" t="n">
        <v>0.2710452486364791</v>
      </c>
      <c r="L3362" t="b">
        <v>1</v>
      </c>
      <c r="M3362" t="b">
        <v>1</v>
      </c>
      <c r="N3362" t="inlineStr">
        <is>
          <t>ref</t>
        </is>
      </c>
      <c r="O3362" t="n">
        <v>75</v>
      </c>
      <c r="P3362" t="n">
        <v>0.006855</v>
      </c>
      <c r="Q3362" t="n">
        <v>5</v>
      </c>
      <c r="R3362" t="n">
        <v>0.009520000000000001</v>
      </c>
      <c r="S3362">
        <f>IMAGE("https://mitra.stanford.edu/kundaje/oak/projects/neuro-variants/variant_position/credible/roussos_2024/variant_figures/roussos_2024.adolescence.Astrocyte/rs2191209_count_position.png",4,220,900)</f>
        <v/>
      </c>
      <c r="T3362">
        <f>IMAGE("https://mitra.stanford.edu/kundaje/oak/projects/neuro-variants/variant_position/credible/roussos_2024/variant_figures/roussos_2024.adolescence.Astrocyte/rs2191209_profile_position.png",4,220,900)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-0.0967043908</v>
      </c>
      <c r="G3363" t="n">
        <v>0.0914451913028733</v>
      </c>
      <c r="H3363" t="n">
        <v>0.0121940376815703</v>
      </c>
      <c r="I3363" t="n">
        <v>0.5341085818449786</v>
      </c>
      <c r="J3363" t="n">
        <v>0.0143651900424294</v>
      </c>
      <c r="K3363" t="n">
        <v>0.6421820809211368</v>
      </c>
      <c r="L3363" t="b">
        <v>0</v>
      </c>
      <c r="M3363" t="b">
        <v>0</v>
      </c>
      <c r="N3363" t="inlineStr">
        <is>
          <t>ref</t>
        </is>
      </c>
      <c r="O3363" t="n">
        <v>-100</v>
      </c>
      <c r="P3363" t="n">
        <v>0.003376</v>
      </c>
      <c r="Q3363" t="n">
        <v>-10</v>
      </c>
      <c r="R3363" t="n">
        <v>0.03833</v>
      </c>
      <c r="S3363">
        <f>IMAGE("https://mitra.stanford.edu/kundaje/oak/projects/neuro-variants/variant_position/credible/roussos_2024/variant_figures/roussos_2024.adolescence.Astrocyte/rs7731621_count_position.png",4,220,900)</f>
        <v/>
      </c>
      <c r="T3363">
        <f>IMAGE("https://mitra.stanford.edu/kundaje/oak/projects/neuro-variants/variant_position/credible/roussos_2024/variant_figures/roussos_2024.adolescence.Astrocyte/rs7731621_profile_position.png",4,220,900)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-0.01962614844</v>
      </c>
      <c r="G3364" t="n">
        <v>0.5237514958231302</v>
      </c>
      <c r="H3364" t="n">
        <v>0.0115767786450191</v>
      </c>
      <c r="I3364" t="n">
        <v>0.5955639810712834</v>
      </c>
      <c r="J3364" t="n">
        <v>0.07625804824496329</v>
      </c>
      <c r="K3364" t="n">
        <v>0.3715127233916053</v>
      </c>
      <c r="L3364" t="b">
        <v>0</v>
      </c>
      <c r="M3364" t="b">
        <v>0</v>
      </c>
      <c r="N3364" t="inlineStr">
        <is>
          <t>ref</t>
        </is>
      </c>
      <c r="O3364" t="n">
        <v>90</v>
      </c>
      <c r="P3364" t="n">
        <v>0.004456</v>
      </c>
      <c r="Q3364" t="n">
        <v>100</v>
      </c>
      <c r="R3364" t="n">
        <v>0.2617</v>
      </c>
      <c r="S3364">
        <f>IMAGE("https://mitra.stanford.edu/kundaje/oak/projects/neuro-variants/variant_position/credible/roussos_2024/variant_figures/roussos_2024.adolescence.Astrocyte/rs13190493_count_position.png",4,220,900)</f>
        <v/>
      </c>
      <c r="T3364">
        <f>IMAGE("https://mitra.stanford.edu/kundaje/oak/projects/neuro-variants/variant_position/credible/roussos_2024/variant_figures/roussos_2024.adolescence.Astrocyte/rs13190493_profile_position.png",4,220,900)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-0.0299846915999999</v>
      </c>
      <c r="G3365" t="n">
        <v>0.2736347345321719</v>
      </c>
      <c r="H3365" t="n">
        <v>0.0132790702525079</v>
      </c>
      <c r="I3365" t="n">
        <v>0.4383370734760922</v>
      </c>
      <c r="J3365" t="n">
        <v>0.0691570483339761</v>
      </c>
      <c r="K3365" t="n">
        <v>0.3888650770261915</v>
      </c>
      <c r="L3365" t="b">
        <v>0</v>
      </c>
      <c r="M3365" t="b">
        <v>0</v>
      </c>
      <c r="N3365" t="inlineStr">
        <is>
          <t>ref</t>
        </is>
      </c>
      <c r="O3365" t="n">
        <v>-85</v>
      </c>
      <c r="P3365" t="n">
        <v>0.003359</v>
      </c>
      <c r="Q3365" t="n">
        <v>100</v>
      </c>
      <c r="R3365" t="n">
        <v>0.1482</v>
      </c>
      <c r="S3365">
        <f>IMAGE("https://mitra.stanford.edu/kundaje/oak/projects/neuro-variants/variant_position/credible/roussos_2024/variant_figures/roussos_2024.adolescence.Astrocyte/rs248081_count_position.png",4,220,900)</f>
        <v/>
      </c>
      <c r="T3365">
        <f>IMAGE("https://mitra.stanford.edu/kundaje/oak/projects/neuro-variants/variant_position/credible/roussos_2024/variant_figures/roussos_2024.adolescence.Astrocyte/rs248081_profile_position.png",4,220,900)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0.090479822</v>
      </c>
      <c r="G3366" t="n">
        <v>0.09567623631852661</v>
      </c>
      <c r="H3366" t="n">
        <v>0.014793663371894</v>
      </c>
      <c r="I3366" t="n">
        <v>0.3375930874161645</v>
      </c>
      <c r="J3366" t="n">
        <v>9.494703735572012e-05</v>
      </c>
      <c r="K3366" t="n">
        <v>0.9826905109389038</v>
      </c>
      <c r="L3366" t="b">
        <v>0</v>
      </c>
      <c r="M3366" t="b">
        <v>0</v>
      </c>
      <c r="N3366" t="inlineStr">
        <is>
          <t>alt</t>
        </is>
      </c>
      <c r="O3366" t="n">
        <v>35</v>
      </c>
      <c r="P3366" t="n">
        <v>0.002747</v>
      </c>
      <c r="Q3366" t="n">
        <v>-25</v>
      </c>
      <c r="R3366" t="n">
        <v>0.08799999999999999</v>
      </c>
      <c r="S3366">
        <f>IMAGE("https://mitra.stanford.edu/kundaje/oak/projects/neuro-variants/variant_position/credible/roussos_2024/variant_figures/roussos_2024.adolescence.Astrocyte/rs248090_count_position.png",4,220,900)</f>
        <v/>
      </c>
      <c r="T3366">
        <f>IMAGE("https://mitra.stanford.edu/kundaje/oak/projects/neuro-variants/variant_position/credible/roussos_2024/variant_figures/roussos_2024.adolescence.Astrocyte/rs248090_profile_position.png",4,220,900)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0.294523376</v>
      </c>
      <c r="G3367" t="n">
        <v>0.0067177652332868</v>
      </c>
      <c r="H3367" t="n">
        <v>0.0232223089126914</v>
      </c>
      <c r="I3367" t="n">
        <v>0.0839073822459689</v>
      </c>
      <c r="J3367" t="n">
        <v>8.233688395690883e-05</v>
      </c>
      <c r="K3367" t="n">
        <v>0.9826024254881988</v>
      </c>
      <c r="L3367" t="b">
        <v>1</v>
      </c>
      <c r="M3367" t="b">
        <v>1</v>
      </c>
      <c r="N3367" t="inlineStr">
        <is>
          <t>alt</t>
        </is>
      </c>
      <c r="O3367" t="n">
        <v>-60</v>
      </c>
      <c r="P3367" t="n">
        <v>0.003738</v>
      </c>
      <c r="Q3367" t="n">
        <v>95</v>
      </c>
      <c r="R3367" t="n">
        <v>0.3875</v>
      </c>
      <c r="S3367">
        <f>IMAGE("https://mitra.stanford.edu/kundaje/oak/projects/neuro-variants/variant_position/credible/roussos_2024/variant_figures/roussos_2024.adolescence.Astrocyte/rs248104_count_position.png",4,220,900)</f>
        <v/>
      </c>
      <c r="T3367">
        <f>IMAGE("https://mitra.stanford.edu/kundaje/oak/projects/neuro-variants/variant_position/credible/roussos_2024/variant_figures/roussos_2024.adolescence.Astrocyte/rs248104_profile_position.png",4,220,900)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-0.0608169133999999</v>
      </c>
      <c r="G3368" t="n">
        <v>0.1790916684330734</v>
      </c>
      <c r="H3368" t="n">
        <v>0.0121111341306855</v>
      </c>
      <c r="I3368" t="n">
        <v>0.5423302025871639</v>
      </c>
      <c r="J3368" t="n">
        <v>0.1400350117200249</v>
      </c>
      <c r="K3368" t="n">
        <v>0.271164583712691</v>
      </c>
      <c r="L3368" t="b">
        <v>0</v>
      </c>
      <c r="M3368" t="b">
        <v>0</v>
      </c>
      <c r="N3368" t="inlineStr">
        <is>
          <t>ref</t>
        </is>
      </c>
      <c r="O3368" t="n">
        <v>90</v>
      </c>
      <c r="P3368" t="n">
        <v>0.01503</v>
      </c>
      <c r="Q3368" t="n">
        <v>-25</v>
      </c>
      <c r="R3368" t="n">
        <v>0.0823</v>
      </c>
      <c r="S3368">
        <f>IMAGE("https://mitra.stanford.edu/kundaje/oak/projects/neuro-variants/variant_position/credible/roussos_2024/variant_figures/roussos_2024.adolescence.Astrocyte/rs248115_count_position.png",4,220,900)</f>
        <v/>
      </c>
      <c r="T3368">
        <f>IMAGE("https://mitra.stanford.edu/kundaje/oak/projects/neuro-variants/variant_position/credible/roussos_2024/variant_figures/roussos_2024.adolescence.Astrocyte/rs248115_profile_position.png",4,220,900)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0.00367947796</v>
      </c>
      <c r="G3369" t="n">
        <v>0.5816933505081152</v>
      </c>
      <c r="H3369" t="n">
        <v>0.0489948011197452</v>
      </c>
      <c r="I3369" t="n">
        <v>0.0042228710747779</v>
      </c>
      <c r="J3369" t="n">
        <v>0.0579258522980149</v>
      </c>
      <c r="K3369" t="n">
        <v>0.4390926718618985</v>
      </c>
      <c r="L3369" t="b">
        <v>1</v>
      </c>
      <c r="M3369" t="b">
        <v>1</v>
      </c>
      <c r="N3369" t="inlineStr">
        <is>
          <t>alt</t>
        </is>
      </c>
      <c r="O3369" t="n">
        <v>-100</v>
      </c>
      <c r="P3369" t="n">
        <v>0.01892</v>
      </c>
      <c r="Q3369" t="n">
        <v>75</v>
      </c>
      <c r="R3369" t="n">
        <v>0.2788</v>
      </c>
      <c r="S3369">
        <f>IMAGE("https://mitra.stanford.edu/kundaje/oak/projects/neuro-variants/variant_position/credible/roussos_2024/variant_figures/roussos_2024.adolescence.Astrocyte/rs248116_count_position.png",4,220,900)</f>
        <v/>
      </c>
      <c r="T3369">
        <f>IMAGE("https://mitra.stanford.edu/kundaje/oak/projects/neuro-variants/variant_position/credible/roussos_2024/variant_figures/roussos_2024.adolescence.Astrocyte/rs248116_profile_position.png",4,220,900)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0.0255005084</v>
      </c>
      <c r="G3370" t="n">
        <v>0.4029722021556377</v>
      </c>
      <c r="H3370" t="n">
        <v>0.0113320955006663</v>
      </c>
      <c r="I3370" t="n">
        <v>0.6181340356273912</v>
      </c>
      <c r="J3370" t="n">
        <v>0.0497604070854226</v>
      </c>
      <c r="K3370" t="n">
        <v>0.4664343501741237</v>
      </c>
      <c r="L3370" t="b">
        <v>0</v>
      </c>
      <c r="M3370" t="b">
        <v>0</v>
      </c>
      <c r="N3370" t="inlineStr">
        <is>
          <t>alt</t>
        </is>
      </c>
      <c r="O3370" t="n">
        <v>-95</v>
      </c>
      <c r="P3370" t="n">
        <v>0.002613</v>
      </c>
      <c r="Q3370" t="n">
        <v>-40</v>
      </c>
      <c r="R3370" t="n">
        <v>0.05865</v>
      </c>
      <c r="S3370">
        <f>IMAGE("https://mitra.stanford.edu/kundaje/oak/projects/neuro-variants/variant_position/credible/roussos_2024/variant_figures/roussos_2024.adolescence.Astrocyte/rs248117_count_position.png",4,220,900)</f>
        <v/>
      </c>
      <c r="T3370">
        <f>IMAGE("https://mitra.stanford.edu/kundaje/oak/projects/neuro-variants/variant_position/credible/roussos_2024/variant_figures/roussos_2024.adolescence.Astrocyte/rs248117_profile_position.png",4,220,900)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-0.0031770249399999</v>
      </c>
      <c r="G3371" t="n">
        <v>0.567548490058702</v>
      </c>
      <c r="H3371" t="n">
        <v>0.009794779151115301</v>
      </c>
      <c r="I3371" t="n">
        <v>0.7755469112932849</v>
      </c>
      <c r="J3371" t="n">
        <v>0.0160119277215677</v>
      </c>
      <c r="K3371" t="n">
        <v>0.6005620066651719</v>
      </c>
      <c r="L3371" t="b">
        <v>0</v>
      </c>
      <c r="M3371" t="b">
        <v>0</v>
      </c>
      <c r="N3371" t="inlineStr">
        <is>
          <t>ref</t>
        </is>
      </c>
      <c r="O3371" t="n">
        <v>70</v>
      </c>
      <c r="P3371" t="n">
        <v>0.009549999999999999</v>
      </c>
      <c r="Q3371" t="n">
        <v>45</v>
      </c>
      <c r="R3371" t="n">
        <v>0.12134</v>
      </c>
      <c r="S3371">
        <f>IMAGE("https://mitra.stanford.edu/kundaje/oak/projects/neuro-variants/variant_position/credible/roussos_2024/variant_figures/roussos_2024.adolescence.Astrocyte/rs1860439_count_position.png",4,220,900)</f>
        <v/>
      </c>
      <c r="T3371">
        <f>IMAGE("https://mitra.stanford.edu/kundaje/oak/projects/neuro-variants/variant_position/credible/roussos_2024/variant_figures/roussos_2024.adolescence.Astrocyte/rs1860439_profile_position.png",4,220,900)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0.130499638</v>
      </c>
      <c r="G3372" t="n">
        <v>0.0456842456705007</v>
      </c>
      <c r="H3372" t="n">
        <v>0.0194546620104139</v>
      </c>
      <c r="I3372" t="n">
        <v>0.1555628681317109</v>
      </c>
      <c r="J3372" t="n">
        <v>0.09965804231077351</v>
      </c>
      <c r="K3372" t="n">
        <v>0.3394189242726302</v>
      </c>
      <c r="L3372" t="b">
        <v>0</v>
      </c>
      <c r="M3372" t="b">
        <v>0</v>
      </c>
      <c r="N3372" t="inlineStr">
        <is>
          <t>alt</t>
        </is>
      </c>
      <c r="O3372" t="n">
        <v>25</v>
      </c>
      <c r="P3372" t="n">
        <v>0.004128</v>
      </c>
      <c r="Q3372" t="n">
        <v>-95</v>
      </c>
      <c r="R3372" t="n">
        <v>0.1715</v>
      </c>
      <c r="S3372">
        <f>IMAGE("https://mitra.stanford.edu/kundaje/oak/projects/neuro-variants/variant_position/credible/roussos_2024/variant_figures/roussos_2024.adolescence.Astrocyte/rs173555_count_position.png",4,220,900)</f>
        <v/>
      </c>
      <c r="T3372">
        <f>IMAGE("https://mitra.stanford.edu/kundaje/oak/projects/neuro-variants/variant_position/credible/roussos_2024/variant_figures/roussos_2024.adolescence.Astrocyte/rs173555_profile_position.png",4,220,900)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0.204296428</v>
      </c>
      <c r="G3373" t="n">
        <v>0.0166621256687155</v>
      </c>
      <c r="H3373" t="n">
        <v>0.0311109656247182</v>
      </c>
      <c r="I3373" t="n">
        <v>0.0271071477332465</v>
      </c>
      <c r="J3373" t="n">
        <v>0.0053155505444618</v>
      </c>
      <c r="K3373" t="n">
        <v>0.7469105244751953</v>
      </c>
      <c r="L3373" t="b">
        <v>1</v>
      </c>
      <c r="M3373" t="b">
        <v>0</v>
      </c>
      <c r="N3373" t="inlineStr">
        <is>
          <t>alt</t>
        </is>
      </c>
      <c r="O3373" t="n">
        <v>-70</v>
      </c>
      <c r="P3373" t="n">
        <v>0.02881</v>
      </c>
      <c r="Q3373" t="n">
        <v>-65</v>
      </c>
      <c r="R3373" t="n">
        <v>0.05838</v>
      </c>
      <c r="S3373">
        <f>IMAGE("https://mitra.stanford.edu/kundaje/oak/projects/neuro-variants/variant_position/credible/roussos_2024/variant_figures/roussos_2024.adolescence.Astrocyte/rs248127_count_position.png",4,220,900)</f>
        <v/>
      </c>
      <c r="T3373">
        <f>IMAGE("https://mitra.stanford.edu/kundaje/oak/projects/neuro-variants/variant_position/credible/roussos_2024/variant_figures/roussos_2024.adolescence.Astrocyte/rs248127_profile_position.png",4,220,900)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0.05132464066</v>
      </c>
      <c r="G3374" t="n">
        <v>0.3024689100150278</v>
      </c>
      <c r="H3374" t="n">
        <v>0.0152365661903616</v>
      </c>
      <c r="I3374" t="n">
        <v>0.3183773669766043</v>
      </c>
      <c r="J3374" t="n">
        <v>0.0119336557576476</v>
      </c>
      <c r="K3374" t="n">
        <v>0.6466400943406536</v>
      </c>
      <c r="L3374" t="b">
        <v>0</v>
      </c>
      <c r="M3374" t="b">
        <v>0</v>
      </c>
      <c r="N3374" t="inlineStr">
        <is>
          <t>alt</t>
        </is>
      </c>
      <c r="O3374" t="n">
        <v>100</v>
      </c>
      <c r="P3374" t="n">
        <v>0.08093</v>
      </c>
      <c r="Q3374" t="n">
        <v>100</v>
      </c>
      <c r="R3374" t="n">
        <v>0.1576</v>
      </c>
      <c r="S3374">
        <f>IMAGE("https://mitra.stanford.edu/kundaje/oak/projects/neuro-variants/variant_position/credible/roussos_2024/variant_figures/roussos_2024.adolescence.Astrocyte/rs188731_count_position.png",4,220,900)</f>
        <v/>
      </c>
      <c r="T3374">
        <f>IMAGE("https://mitra.stanford.edu/kundaje/oak/projects/neuro-variants/variant_position/credible/roussos_2024/variant_figures/roussos_2024.adolescence.Astrocyte/rs188731_profile_position.png",4,220,900)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0.01330873263</v>
      </c>
      <c r="G3375" t="n">
        <v>0.6732997971658132</v>
      </c>
      <c r="H3375" t="n">
        <v>0.0176449090149605</v>
      </c>
      <c r="I3375" t="n">
        <v>0.2039863505421911</v>
      </c>
      <c r="J3375" t="n">
        <v>0.0403769694092513</v>
      </c>
      <c r="K3375" t="n">
        <v>0.4736068069651896</v>
      </c>
      <c r="L3375" t="b">
        <v>0</v>
      </c>
      <c r="M3375" t="b">
        <v>0</v>
      </c>
      <c r="N3375" t="inlineStr">
        <is>
          <t>alt</t>
        </is>
      </c>
      <c r="O3375" t="n">
        <v>45</v>
      </c>
      <c r="P3375" t="n">
        <v>0.00692</v>
      </c>
      <c r="Q3375" t="n">
        <v>40</v>
      </c>
      <c r="R3375" t="n">
        <v>0.1411</v>
      </c>
      <c r="S3375">
        <f>IMAGE("https://mitra.stanford.edu/kundaje/oak/projects/neuro-variants/variant_position/credible/roussos_2024/variant_figures/roussos_2024.adolescence.Astrocyte/rs187653_count_position.png",4,220,900)</f>
        <v/>
      </c>
      <c r="T3375">
        <f>IMAGE("https://mitra.stanford.edu/kundaje/oak/projects/neuro-variants/variant_position/credible/roussos_2024/variant_figures/roussos_2024.adolescence.Astrocyte/rs187653_profile_position.png",4,220,900)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0.14946744</v>
      </c>
      <c r="G3376" t="n">
        <v>0.0344435590039778</v>
      </c>
      <c r="H3376" t="n">
        <v>0.0181627221099258</v>
      </c>
      <c r="I3376" t="n">
        <v>0.1850750615474195</v>
      </c>
      <c r="J3376" t="n">
        <v>0.2662633890158146</v>
      </c>
      <c r="K3376" t="n">
        <v>0.1555367896981504</v>
      </c>
      <c r="L3376" t="b">
        <v>0</v>
      </c>
      <c r="M3376" t="b">
        <v>0</v>
      </c>
      <c r="N3376" t="inlineStr">
        <is>
          <t>alt</t>
        </is>
      </c>
      <c r="O3376" t="n">
        <v>-75</v>
      </c>
      <c r="P3376" t="n">
        <v>0.013504</v>
      </c>
      <c r="Q3376" t="n">
        <v>30</v>
      </c>
      <c r="R3376" t="n">
        <v>0.03052</v>
      </c>
      <c r="S3376">
        <f>IMAGE("https://mitra.stanford.edu/kundaje/oak/projects/neuro-variants/variant_position/credible/roussos_2024/variant_figures/roussos_2024.adolescence.Astrocyte/rs6421150_count_position.png",4,220,900)</f>
        <v/>
      </c>
      <c r="T3376">
        <f>IMAGE("https://mitra.stanford.edu/kundaje/oak/projects/neuro-variants/variant_position/credible/roussos_2024/variant_figures/roussos_2024.adolescence.Astrocyte/rs6421150_profile_position.png",4,220,900)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0.058963782</v>
      </c>
      <c r="G3377" t="n">
        <v>0.2343238701613744</v>
      </c>
      <c r="H3377" t="n">
        <v>0.016943242540785</v>
      </c>
      <c r="I3377" t="n">
        <v>0.2318171031726209</v>
      </c>
      <c r="J3377" t="n">
        <v>0.0252581372578108</v>
      </c>
      <c r="K3377" t="n">
        <v>0.5515441262114869</v>
      </c>
      <c r="L3377" t="b">
        <v>0</v>
      </c>
      <c r="M3377" t="b">
        <v>0</v>
      </c>
      <c r="N3377" t="inlineStr">
        <is>
          <t>alt</t>
        </is>
      </c>
      <c r="O3377" t="n">
        <v>5</v>
      </c>
      <c r="P3377" t="n">
        <v>0.005707</v>
      </c>
      <c r="Q3377" t="n">
        <v>-35</v>
      </c>
      <c r="R3377" t="n">
        <v>0.04712</v>
      </c>
      <c r="S3377">
        <f>IMAGE("https://mitra.stanford.edu/kundaje/oak/projects/neuro-variants/variant_position/credible/roussos_2024/variant_figures/roussos_2024.adolescence.Astrocyte/rs355163_count_position.png",4,220,900)</f>
        <v/>
      </c>
      <c r="T3377">
        <f>IMAGE("https://mitra.stanford.edu/kundaje/oak/projects/neuro-variants/variant_position/credible/roussos_2024/variant_figures/roussos_2024.adolescence.Astrocyte/rs355163_profile_position.png",4,220,900)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0.01724685226</v>
      </c>
      <c r="G3378" t="n">
        <v>0.582918395607518</v>
      </c>
      <c r="H3378" t="n">
        <v>0.0139886195130165</v>
      </c>
      <c r="I3378" t="n">
        <v>0.3876689382829754</v>
      </c>
      <c r="J3378" t="n">
        <v>0.1440391063110108</v>
      </c>
      <c r="K3378" t="n">
        <v>0.2625738894719827</v>
      </c>
      <c r="L3378" t="b">
        <v>0</v>
      </c>
      <c r="M3378" t="b">
        <v>0</v>
      </c>
      <c r="N3378" t="inlineStr">
        <is>
          <t>alt</t>
        </is>
      </c>
      <c r="O3378" t="n">
        <v>-30</v>
      </c>
      <c r="P3378" t="n">
        <v>0.001926</v>
      </c>
      <c r="Q3378" t="n">
        <v>-95</v>
      </c>
      <c r="R3378" t="n">
        <v>0.02258</v>
      </c>
      <c r="S3378">
        <f>IMAGE("https://mitra.stanford.edu/kundaje/oak/projects/neuro-variants/variant_position/credible/roussos_2024/variant_figures/roussos_2024.adolescence.Astrocyte/rs9687282_count_position.png",4,220,900)</f>
        <v/>
      </c>
      <c r="T3378">
        <f>IMAGE("https://mitra.stanford.edu/kundaje/oak/projects/neuro-variants/variant_position/credible/roussos_2024/variant_figures/roussos_2024.adolescence.Astrocyte/rs9687282_profile_position.png",4,220,900)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0.01372578208</v>
      </c>
      <c r="G3379" t="n">
        <v>0.6297456333160745</v>
      </c>
      <c r="H3379" t="n">
        <v>0.0146936490528777</v>
      </c>
      <c r="I3379" t="n">
        <v>0.3398621488177095</v>
      </c>
      <c r="J3379" t="n">
        <v>0.0850450998427439</v>
      </c>
      <c r="K3379" t="n">
        <v>0.3602227043978798</v>
      </c>
      <c r="L3379" t="b">
        <v>0</v>
      </c>
      <c r="M3379" t="b">
        <v>0</v>
      </c>
      <c r="N3379" t="inlineStr">
        <is>
          <t>alt</t>
        </is>
      </c>
      <c r="O3379" t="n">
        <v>-80</v>
      </c>
      <c r="P3379" t="n">
        <v>0.00492</v>
      </c>
      <c r="Q3379" t="n">
        <v>-100</v>
      </c>
      <c r="R3379" t="n">
        <v>0.1138</v>
      </c>
      <c r="S3379">
        <f>IMAGE("https://mitra.stanford.edu/kundaje/oak/projects/neuro-variants/variant_position/credible/roussos_2024/variant_figures/roussos_2024.adolescence.Astrocyte/rs4912894_count_position.png",4,220,900)</f>
        <v/>
      </c>
      <c r="T3379">
        <f>IMAGE("https://mitra.stanford.edu/kundaje/oak/projects/neuro-variants/variant_position/credible/roussos_2024/variant_figures/roussos_2024.adolescence.Astrocyte/rs4912894_profile_position.png",4,220,900)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-0.107086385</v>
      </c>
      <c r="G3380" t="n">
        <v>0.09246376099992699</v>
      </c>
      <c r="H3380" t="n">
        <v>0.0244266746623746</v>
      </c>
      <c r="I3380" t="n">
        <v>0.07650127804147749</v>
      </c>
      <c r="J3380" t="n">
        <v>0.2763055217636412</v>
      </c>
      <c r="K3380" t="n">
        <v>0.147242935526899</v>
      </c>
      <c r="L3380" t="b">
        <v>0</v>
      </c>
      <c r="M3380" t="b">
        <v>0</v>
      </c>
      <c r="N3380" t="inlineStr">
        <is>
          <t>ref</t>
        </is>
      </c>
      <c r="O3380" t="n">
        <v>-40</v>
      </c>
      <c r="P3380" t="n">
        <v>0.002771</v>
      </c>
      <c r="Q3380" t="n">
        <v>100</v>
      </c>
      <c r="R3380" t="n">
        <v>0.2966</v>
      </c>
      <c r="S3380">
        <f>IMAGE("https://mitra.stanford.edu/kundaje/oak/projects/neuro-variants/variant_position/credible/roussos_2024/variant_figures/roussos_2024.adolescence.Astrocyte/rs2073512_count_position.png",4,220,900)</f>
        <v/>
      </c>
      <c r="T3380">
        <f>IMAGE("https://mitra.stanford.edu/kundaje/oak/projects/neuro-variants/variant_position/credible/roussos_2024/variant_figures/roussos_2024.adolescence.Astrocyte/rs2073512_profile_position.png",4,220,900)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-0.01175273314</v>
      </c>
      <c r="G3381" t="n">
        <v>0.710877227192786</v>
      </c>
      <c r="H3381" t="n">
        <v>0.0217044111406717</v>
      </c>
      <c r="I3381" t="n">
        <v>0.1048023805612147</v>
      </c>
      <c r="J3381" t="n">
        <v>0.0010674123965225</v>
      </c>
      <c r="K3381" t="n">
        <v>0.8681535256955798</v>
      </c>
      <c r="L3381" t="b">
        <v>0</v>
      </c>
      <c r="M3381" t="b">
        <v>0</v>
      </c>
      <c r="N3381" t="inlineStr">
        <is>
          <t>ref</t>
        </is>
      </c>
      <c r="O3381" t="n">
        <v>-50</v>
      </c>
      <c r="P3381" t="n">
        <v>0.006184</v>
      </c>
      <c r="Q3381" t="n">
        <v>45</v>
      </c>
      <c r="R3381" t="n">
        <v>0.06726</v>
      </c>
      <c r="S3381">
        <f>IMAGE("https://mitra.stanford.edu/kundaje/oak/projects/neuro-variants/variant_position/credible/roussos_2024/variant_figures/roussos_2024.adolescence.Astrocyte/rs12186884_count_position.png",4,220,900)</f>
        <v/>
      </c>
      <c r="T3381">
        <f>IMAGE("https://mitra.stanford.edu/kundaje/oak/projects/neuro-variants/variant_position/credible/roussos_2024/variant_figures/roussos_2024.adolescence.Astrocyte/rs12186884_profile_position.png",4,220,900)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-0.06475621551999999</v>
      </c>
      <c r="G3382" t="n">
        <v>0.1735153633140124</v>
      </c>
      <c r="H3382" t="n">
        <v>0.0164631368055944</v>
      </c>
      <c r="I3382" t="n">
        <v>0.2492188203688169</v>
      </c>
      <c r="J3382" t="n">
        <v>0.2791962139868854</v>
      </c>
      <c r="K3382" t="n">
        <v>0.1454423645615363</v>
      </c>
      <c r="L3382" t="b">
        <v>0</v>
      </c>
      <c r="M3382" t="b">
        <v>0</v>
      </c>
      <c r="N3382" t="inlineStr">
        <is>
          <t>ref</t>
        </is>
      </c>
      <c r="O3382" t="n">
        <v>70</v>
      </c>
      <c r="P3382" t="n">
        <v>0.0214</v>
      </c>
      <c r="Q3382" t="n">
        <v>60</v>
      </c>
      <c r="R3382" t="n">
        <v>0.1167</v>
      </c>
      <c r="S3382">
        <f>IMAGE("https://mitra.stanford.edu/kundaje/oak/projects/neuro-variants/variant_position/credible/roussos_2024/variant_figures/roussos_2024.adolescence.Astrocyte/rs801174_count_position.png",4,220,900)</f>
        <v/>
      </c>
      <c r="T3382">
        <f>IMAGE("https://mitra.stanford.edu/kundaje/oak/projects/neuro-variants/variant_position/credible/roussos_2024/variant_figures/roussos_2024.adolescence.Astrocyte/rs801174_profile_position.png",4,220,900)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0.059498799</v>
      </c>
      <c r="G3383" t="n">
        <v>0.1828785344274966</v>
      </c>
      <c r="H3383" t="n">
        <v>0.0208086314148838</v>
      </c>
      <c r="I3383" t="n">
        <v>0.120454303636169</v>
      </c>
      <c r="J3383" t="n">
        <v>0.0001312939500934</v>
      </c>
      <c r="K3383" t="n">
        <v>0.975226180278142</v>
      </c>
      <c r="L3383" t="b">
        <v>0</v>
      </c>
      <c r="M3383" t="b">
        <v>0</v>
      </c>
      <c r="N3383" t="inlineStr">
        <is>
          <t>alt</t>
        </is>
      </c>
      <c r="O3383" t="n">
        <v>100</v>
      </c>
      <c r="P3383" t="n">
        <v>0.00555</v>
      </c>
      <c r="Q3383" t="n">
        <v>-100</v>
      </c>
      <c r="R3383" t="n">
        <v>0.1038</v>
      </c>
      <c r="S3383">
        <f>IMAGE("https://mitra.stanford.edu/kundaje/oak/projects/neuro-variants/variant_position/credible/roussos_2024/variant_figures/roussos_2024.adolescence.Astrocyte/rs12659129_count_position.png",4,220,900)</f>
        <v/>
      </c>
      <c r="T3383">
        <f>IMAGE("https://mitra.stanford.edu/kundaje/oak/projects/neuro-variants/variant_position/credible/roussos_2024/variant_figures/roussos_2024.adolescence.Astrocyte/rs12659129_profile_position.png",4,220,900)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0.2085446659999999</v>
      </c>
      <c r="G3384" t="n">
        <v>0.0170162445646709</v>
      </c>
      <c r="H3384" t="n">
        <v>0.0210379608563856</v>
      </c>
      <c r="I3384" t="n">
        <v>0.1158410940875328</v>
      </c>
      <c r="J3384" t="n">
        <v>0.0663197638192445</v>
      </c>
      <c r="K3384" t="n">
        <v>0.4104262026908951</v>
      </c>
      <c r="L3384" t="b">
        <v>1</v>
      </c>
      <c r="M3384" t="b">
        <v>0</v>
      </c>
      <c r="N3384" t="inlineStr">
        <is>
          <t>alt</t>
        </is>
      </c>
      <c r="O3384" t="n">
        <v>-75</v>
      </c>
      <c r="P3384" t="n">
        <v>0.001595</v>
      </c>
      <c r="Q3384" t="n">
        <v>-25</v>
      </c>
      <c r="R3384" t="n">
        <v>0.1572</v>
      </c>
      <c r="S3384">
        <f>IMAGE("https://mitra.stanford.edu/kundaje/oak/projects/neuro-variants/variant_position/credible/roussos_2024/variant_figures/roussos_2024.adolescence.Astrocyte/rs7710380_count_position.png",4,220,900)</f>
        <v/>
      </c>
      <c r="T3384">
        <f>IMAGE("https://mitra.stanford.edu/kundaje/oak/projects/neuro-variants/variant_position/credible/roussos_2024/variant_figures/roussos_2024.adolescence.Astrocyte/rs7710380_profile_position.png",4,220,900)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0.0057143964199999</v>
      </c>
      <c r="G3385" t="n">
        <v>0.8268607767911889</v>
      </c>
      <c r="H3385" t="n">
        <v>0.0185295107841341</v>
      </c>
      <c r="I3385" t="n">
        <v>0.1745476236809266</v>
      </c>
      <c r="J3385" t="n">
        <v>0.0033305640447437</v>
      </c>
      <c r="K3385" t="n">
        <v>0.7924521699516461</v>
      </c>
      <c r="L3385" t="b">
        <v>0</v>
      </c>
      <c r="M3385" t="b">
        <v>0</v>
      </c>
      <c r="N3385" t="inlineStr">
        <is>
          <t>alt</t>
        </is>
      </c>
      <c r="O3385" t="n">
        <v>-55</v>
      </c>
      <c r="P3385" t="n">
        <v>0.006676</v>
      </c>
      <c r="Q3385" t="n">
        <v>-95</v>
      </c>
      <c r="R3385" t="n">
        <v>0.08765000000000001</v>
      </c>
      <c r="S3385">
        <f>IMAGE("https://mitra.stanford.edu/kundaje/oak/projects/neuro-variants/variant_position/credible/roussos_2024/variant_figures/roussos_2024.adolescence.Astrocyte/rs1548699_count_position.png",4,220,900)</f>
        <v/>
      </c>
      <c r="T3385">
        <f>IMAGE("https://mitra.stanford.edu/kundaje/oak/projects/neuro-variants/variant_position/credible/roussos_2024/variant_figures/roussos_2024.adolescence.Astrocyte/rs1548699_profile_position.png",4,220,900)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0.0669988128</v>
      </c>
      <c r="G3386" t="n">
        <v>0.1487211340243419</v>
      </c>
      <c r="H3386" t="n">
        <v>0.0112539434136519</v>
      </c>
      <c r="I3386" t="n">
        <v>0.635446042327741</v>
      </c>
      <c r="J3386" t="n">
        <v>0.014607750051924</v>
      </c>
      <c r="K3386" t="n">
        <v>0.6167849091634801</v>
      </c>
      <c r="L3386" t="b">
        <v>0</v>
      </c>
      <c r="M3386" t="b">
        <v>0</v>
      </c>
      <c r="N3386" t="inlineStr">
        <is>
          <t>alt</t>
        </is>
      </c>
      <c r="O3386" t="n">
        <v>95</v>
      </c>
      <c r="P3386" t="n">
        <v>0.0221</v>
      </c>
      <c r="Q3386" t="n">
        <v>90</v>
      </c>
      <c r="R3386" t="n">
        <v>0.2152</v>
      </c>
      <c r="S3386">
        <f>IMAGE("https://mitra.stanford.edu/kundaje/oak/projects/neuro-variants/variant_position/credible/roussos_2024/variant_figures/roussos_2024.adolescence.Astrocyte/rs13184940_count_position.png",4,220,900)</f>
        <v/>
      </c>
      <c r="T3386">
        <f>IMAGE("https://mitra.stanford.edu/kundaje/oak/projects/neuro-variants/variant_position/credible/roussos_2024/variant_figures/roussos_2024.adolescence.Astrocyte/rs13184940_profile_position.png",4,220,900)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0.100165698</v>
      </c>
      <c r="G3387" t="n">
        <v>0.0802323538020389</v>
      </c>
      <c r="H3387" t="n">
        <v>0.0189705043220747</v>
      </c>
      <c r="I3387" t="n">
        <v>0.162746619109663</v>
      </c>
      <c r="J3387" t="n">
        <v>0.4677521288906032</v>
      </c>
      <c r="K3387" t="n">
        <v>0.0657401373824731</v>
      </c>
      <c r="L3387" t="b">
        <v>0</v>
      </c>
      <c r="M3387" t="b">
        <v>0</v>
      </c>
      <c r="N3387" t="inlineStr">
        <is>
          <t>alt</t>
        </is>
      </c>
      <c r="O3387" t="n">
        <v>50</v>
      </c>
      <c r="P3387" t="n">
        <v>0.007324</v>
      </c>
      <c r="Q3387" t="n">
        <v>100</v>
      </c>
      <c r="R3387" t="n">
        <v>0.0742</v>
      </c>
      <c r="S3387">
        <f>IMAGE("https://mitra.stanford.edu/kundaje/oak/projects/neuro-variants/variant_position/credible/roussos_2024/variant_figures/roussos_2024.adolescence.Astrocyte/rs3756338_count_position.png",4,220,900)</f>
        <v/>
      </c>
      <c r="T3387">
        <f>IMAGE("https://mitra.stanford.edu/kundaje/oak/projects/neuro-variants/variant_position/credible/roussos_2024/variant_figures/roussos_2024.adolescence.Astrocyte/rs3756338_profile_position.png",4,220,900)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-0.0356724011999999</v>
      </c>
      <c r="G3388" t="n">
        <v>0.3730103227672739</v>
      </c>
      <c r="H3388" t="n">
        <v>0.0286803494255343</v>
      </c>
      <c r="I3388" t="n">
        <v>0.0373599078052964</v>
      </c>
      <c r="J3388" t="n">
        <v>0.5715707800492538</v>
      </c>
      <c r="K3388" t="n">
        <v>0.0394023080658804</v>
      </c>
      <c r="L3388" t="b">
        <v>0</v>
      </c>
      <c r="M3388" t="b">
        <v>0</v>
      </c>
      <c r="N3388" t="inlineStr">
        <is>
          <t>ref</t>
        </is>
      </c>
      <c r="O3388" t="n">
        <v>-40</v>
      </c>
      <c r="P3388" t="n">
        <v>0.10144</v>
      </c>
      <c r="Q3388" t="n">
        <v>-25</v>
      </c>
      <c r="R3388" t="n">
        <v>0.432</v>
      </c>
      <c r="S3388">
        <f>IMAGE("https://mitra.stanford.edu/kundaje/oak/projects/neuro-variants/variant_position/credible/roussos_2024/variant_figures/roussos_2024.adolescence.Astrocyte/rs3806845_count_position.png",4,220,900)</f>
        <v/>
      </c>
      <c r="T3388">
        <f>IMAGE("https://mitra.stanford.edu/kundaje/oak/projects/neuro-variants/variant_position/credible/roussos_2024/variant_figures/roussos_2024.adolescence.Astrocyte/rs3806845_profile_position.png",4,220,900)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-0.1032894993999999</v>
      </c>
      <c r="G3389" t="n">
        <v>0.08466390170734441</v>
      </c>
      <c r="H3389" t="n">
        <v>0.0181013691713014</v>
      </c>
      <c r="I3389" t="n">
        <v>0.1887893022028634</v>
      </c>
      <c r="J3389" t="n">
        <v>0.5769790523098833</v>
      </c>
      <c r="K3389" t="n">
        <v>0.0381701599208163</v>
      </c>
      <c r="L3389" t="b">
        <v>0</v>
      </c>
      <c r="M3389" t="b">
        <v>0</v>
      </c>
      <c r="N3389" t="inlineStr">
        <is>
          <t>ref</t>
        </is>
      </c>
      <c r="O3389" t="n">
        <v>-65</v>
      </c>
      <c r="P3389" t="n">
        <v>0.02124</v>
      </c>
      <c r="Q3389" t="n">
        <v>-40</v>
      </c>
      <c r="R3389" t="n">
        <v>0.03345</v>
      </c>
      <c r="S3389">
        <f>IMAGE("https://mitra.stanford.edu/kundaje/oak/projects/neuro-variants/variant_position/credible/roussos_2024/variant_figures/roussos_2024.adolescence.Astrocyte/rs4151682_count_position.png",4,220,900)</f>
        <v/>
      </c>
      <c r="T3389">
        <f>IMAGE("https://mitra.stanford.edu/kundaje/oak/projects/neuro-variants/variant_position/credible/roussos_2024/variant_figures/roussos_2024.adolescence.Astrocyte/rs4151682_profile_position.png",4,220,900)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0.0415284256599999</v>
      </c>
      <c r="G3390" t="n">
        <v>0.325578546957766</v>
      </c>
      <c r="H3390" t="n">
        <v>0.0100320713331845</v>
      </c>
      <c r="I3390" t="n">
        <v>0.7391733176752153</v>
      </c>
      <c r="J3390" t="n">
        <v>0.6428025695041985</v>
      </c>
      <c r="K3390" t="n">
        <v>0.0265323011983596</v>
      </c>
      <c r="L3390" t="b">
        <v>0</v>
      </c>
      <c r="M3390" t="b">
        <v>0</v>
      </c>
      <c r="N3390" t="inlineStr">
        <is>
          <t>alt</t>
        </is>
      </c>
      <c r="O3390" t="n">
        <v>-100</v>
      </c>
      <c r="P3390" t="n">
        <v>0.02002</v>
      </c>
      <c r="Q3390" t="n">
        <v>100</v>
      </c>
      <c r="R3390" t="n">
        <v>0.1929</v>
      </c>
      <c r="S3390">
        <f>IMAGE("https://mitra.stanford.edu/kundaje/oak/projects/neuro-variants/variant_position/credible/roussos_2024/variant_figures/roussos_2024.adolescence.Astrocyte/rs11958868_count_position.png",4,220,900)</f>
        <v/>
      </c>
      <c r="T3390">
        <f>IMAGE("https://mitra.stanford.edu/kundaje/oak/projects/neuro-variants/variant_position/credible/roussos_2024/variant_figures/roussos_2024.adolescence.Astrocyte/rs11958868_profile_position.png",4,220,900)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-0.07390512</v>
      </c>
      <c r="G3391" t="n">
        <v>0.139553289909178</v>
      </c>
      <c r="H3391" t="n">
        <v>0.0122456988020061</v>
      </c>
      <c r="I3391" t="n">
        <v>0.52606803070041</v>
      </c>
      <c r="J3391" t="n">
        <v>0.0046027059905645</v>
      </c>
      <c r="K3391" t="n">
        <v>0.7583688630089459</v>
      </c>
      <c r="L3391" t="b">
        <v>0</v>
      </c>
      <c r="M3391" t="b">
        <v>0</v>
      </c>
      <c r="N3391" t="inlineStr">
        <is>
          <t>ref</t>
        </is>
      </c>
      <c r="O3391" t="n">
        <v>55</v>
      </c>
      <c r="P3391" t="n">
        <v>0.010864</v>
      </c>
      <c r="Q3391" t="n">
        <v>100</v>
      </c>
      <c r="R3391" t="n">
        <v>0.00757</v>
      </c>
      <c r="S3391">
        <f>IMAGE("https://mitra.stanford.edu/kundaje/oak/projects/neuro-variants/variant_position/credible/roussos_2024/variant_figures/roussos_2024.adolescence.Astrocyte/rs10038174_count_position.png",4,220,900)</f>
        <v/>
      </c>
      <c r="T3391">
        <f>IMAGE("https://mitra.stanford.edu/kundaje/oak/projects/neuro-variants/variant_position/credible/roussos_2024/variant_figures/roussos_2024.adolescence.Astrocyte/rs10038174_profile_position.png",4,220,900)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0.0100263393</v>
      </c>
      <c r="G3392" t="n">
        <v>0.7288232503162563</v>
      </c>
      <c r="H3392" t="n">
        <v>0.0294098724794446</v>
      </c>
      <c r="I3392" t="n">
        <v>0.0341122732077279</v>
      </c>
      <c r="J3392" t="n">
        <v>0.0008107586861703</v>
      </c>
      <c r="K3392" t="n">
        <v>0.8981248043699896</v>
      </c>
      <c r="L3392" t="b">
        <v>0</v>
      </c>
      <c r="M3392" t="b">
        <v>0</v>
      </c>
      <c r="N3392" t="inlineStr">
        <is>
          <t>alt</t>
        </is>
      </c>
      <c r="O3392" t="n">
        <v>100</v>
      </c>
      <c r="P3392" t="n">
        <v>0.01305</v>
      </c>
      <c r="Q3392" t="n">
        <v>-50</v>
      </c>
      <c r="R3392" t="n">
        <v>0.03177</v>
      </c>
      <c r="S3392">
        <f>IMAGE("https://mitra.stanford.edu/kundaje/oak/projects/neuro-variants/variant_position/credible/roussos_2024/variant_figures/roussos_2024.adolescence.Astrocyte/rs35123355_count_position.png",4,220,900)</f>
        <v/>
      </c>
      <c r="T3392">
        <f>IMAGE("https://mitra.stanford.edu/kundaje/oak/projects/neuro-variants/variant_position/credible/roussos_2024/variant_figures/roussos_2024.adolescence.Astrocyte/rs35123355_profile_position.png",4,220,900)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0.0328893787999999</v>
      </c>
      <c r="G3393" t="n">
        <v>0.3556273221120367</v>
      </c>
      <c r="H3393" t="n">
        <v>0.0268683697169381</v>
      </c>
      <c r="I3393" t="n">
        <v>0.0488411850177593</v>
      </c>
      <c r="J3393" t="n">
        <v>0.9148035783164704</v>
      </c>
      <c r="K3393" t="n">
        <v>0.000946406816108</v>
      </c>
      <c r="L3393" t="b">
        <v>0</v>
      </c>
      <c r="M3393" t="b">
        <v>0</v>
      </c>
      <c r="N3393" t="inlineStr">
        <is>
          <t>alt</t>
        </is>
      </c>
      <c r="O3393" t="n">
        <v>50</v>
      </c>
      <c r="P3393" t="n">
        <v>0.0188</v>
      </c>
      <c r="Q3393" t="n">
        <v>100</v>
      </c>
      <c r="R3393" t="n">
        <v>0.1211</v>
      </c>
      <c r="S3393">
        <f>IMAGE("https://mitra.stanford.edu/kundaje/oak/projects/neuro-variants/variant_position/credible/roussos_2024/variant_figures/roussos_2024.adolescence.Astrocyte/rs31745_count_position.png",4,220,900)</f>
        <v/>
      </c>
      <c r="T3393">
        <f>IMAGE("https://mitra.stanford.edu/kundaje/oak/projects/neuro-variants/variant_position/credible/roussos_2024/variant_figures/roussos_2024.adolescence.Astrocyte/rs31745_profile_position.png",4,220,900)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0.0630755444</v>
      </c>
      <c r="G3394" t="n">
        <v>0.1653397686001055</v>
      </c>
      <c r="H3394" t="n">
        <v>0.0129519219050378</v>
      </c>
      <c r="I3394" t="n">
        <v>0.4648925387618328</v>
      </c>
      <c r="J3394" t="n">
        <v>0.0002188232501557</v>
      </c>
      <c r="K3394" t="n">
        <v>0.956854393052726</v>
      </c>
      <c r="L3394" t="b">
        <v>0</v>
      </c>
      <c r="M3394" t="b">
        <v>0</v>
      </c>
      <c r="N3394" t="inlineStr">
        <is>
          <t>alt</t>
        </is>
      </c>
      <c r="O3394" t="n">
        <v>100</v>
      </c>
      <c r="P3394" t="n">
        <v>0.005985</v>
      </c>
      <c r="Q3394" t="n">
        <v>-5</v>
      </c>
      <c r="R3394" t="n">
        <v>0.0002441</v>
      </c>
      <c r="S3394">
        <f>IMAGE("https://mitra.stanford.edu/kundaje/oak/projects/neuro-variants/variant_position/credible/roussos_2024/variant_figures/roussos_2024.adolescence.Astrocyte/rs34907800_count_position.png",4,220,900)</f>
        <v/>
      </c>
      <c r="T3394">
        <f>IMAGE("https://mitra.stanford.edu/kundaje/oak/projects/neuro-variants/variant_position/credible/roussos_2024/variant_figures/roussos_2024.adolescence.Astrocyte/rs34907800_profile_position.png",4,220,900)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0.0656432624</v>
      </c>
      <c r="G3395" t="n">
        <v>0.1698646707820522</v>
      </c>
      <c r="H3395" t="n">
        <v>0.0140599779612821</v>
      </c>
      <c r="I3395" t="n">
        <v>0.3858198714111447</v>
      </c>
      <c r="J3395" t="n">
        <v>0.0179138355635996</v>
      </c>
      <c r="K3395" t="n">
        <v>0.6258474993468371</v>
      </c>
      <c r="L3395" t="b">
        <v>0</v>
      </c>
      <c r="M3395" t="b">
        <v>0</v>
      </c>
      <c r="N3395" t="inlineStr">
        <is>
          <t>alt</t>
        </is>
      </c>
      <c r="O3395" t="n">
        <v>15</v>
      </c>
      <c r="P3395" t="n">
        <v>0.0009174</v>
      </c>
      <c r="Q3395" t="n">
        <v>-40</v>
      </c>
      <c r="R3395" t="n">
        <v>0.0465</v>
      </c>
      <c r="S3395">
        <f>IMAGE("https://mitra.stanford.edu/kundaje/oak/projects/neuro-variants/variant_position/credible/roussos_2024/variant_figures/roussos_2024.adolescence.Astrocyte/rs31860_count_position.png",4,220,900)</f>
        <v/>
      </c>
      <c r="T3395">
        <f>IMAGE("https://mitra.stanford.edu/kundaje/oak/projects/neuro-variants/variant_position/credible/roussos_2024/variant_figures/roussos_2024.adolescence.Astrocyte/rs31860_profile_position.png",4,220,900)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0.01752665586</v>
      </c>
      <c r="G3396" t="n">
        <v>0.5988270293617606</v>
      </c>
      <c r="H3396" t="n">
        <v>0.0162251711128383</v>
      </c>
      <c r="I3396" t="n">
        <v>0.2590962021649378</v>
      </c>
      <c r="J3396" t="n">
        <v>0.0114129305996498</v>
      </c>
      <c r="K3396" t="n">
        <v>0.6818229959990266</v>
      </c>
      <c r="L3396" t="b">
        <v>0</v>
      </c>
      <c r="M3396" t="b">
        <v>0</v>
      </c>
      <c r="N3396" t="inlineStr">
        <is>
          <t>alt</t>
        </is>
      </c>
      <c r="O3396" t="n">
        <v>-35</v>
      </c>
      <c r="P3396" t="n">
        <v>0.00737</v>
      </c>
      <c r="Q3396" t="n">
        <v>-95</v>
      </c>
      <c r="R3396" t="n">
        <v>0.2205</v>
      </c>
      <c r="S3396">
        <f>IMAGE("https://mitra.stanford.edu/kundaje/oak/projects/neuro-variants/variant_position/credible/roussos_2024/variant_figures/roussos_2024.adolescence.Astrocyte/rs31859_count_position.png",4,220,900)</f>
        <v/>
      </c>
      <c r="T3396">
        <f>IMAGE("https://mitra.stanford.edu/kundaje/oak/projects/neuro-variants/variant_position/credible/roussos_2024/variant_figures/roussos_2024.adolescence.Astrocyte/rs31859_profile_position.png",4,220,900)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0.0731092129999999</v>
      </c>
      <c r="G3397" t="n">
        <v>0.1744512296937228</v>
      </c>
      <c r="H3397" t="n">
        <v>0.021661673600893</v>
      </c>
      <c r="I3397" t="n">
        <v>0.1226279904179781</v>
      </c>
      <c r="J3397" t="n">
        <v>0.0103343915971871</v>
      </c>
      <c r="K3397" t="n">
        <v>0.6751968756191996</v>
      </c>
      <c r="L3397" t="b">
        <v>0</v>
      </c>
      <c r="M3397" t="b">
        <v>0</v>
      </c>
      <c r="N3397" t="inlineStr">
        <is>
          <t>alt</t>
        </is>
      </c>
      <c r="O3397" t="n">
        <v>-90</v>
      </c>
      <c r="P3397" t="n">
        <v>0.006126</v>
      </c>
      <c r="Q3397" t="n">
        <v>-90</v>
      </c>
      <c r="R3397" t="n">
        <v>0.1423</v>
      </c>
      <c r="S3397">
        <f>IMAGE("https://mitra.stanford.edu/kundaje/oak/projects/neuro-variants/variant_position/credible/roussos_2024/variant_figures/roussos_2024.adolescence.Astrocyte/rs35110655_count_position.png",4,220,900)</f>
        <v/>
      </c>
      <c r="T3397">
        <f>IMAGE("https://mitra.stanford.edu/kundaje/oak/projects/neuro-variants/variant_position/credible/roussos_2024/variant_figures/roussos_2024.adolescence.Astrocyte/rs35110655_profile_position.png",4,220,900)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-0.0118507613</v>
      </c>
      <c r="G3398" t="n">
        <v>0.7142945776363602</v>
      </c>
      <c r="H3398" t="n">
        <v>0.009588140081657599</v>
      </c>
      <c r="I3398" t="n">
        <v>0.7858695748916324</v>
      </c>
      <c r="J3398" t="n">
        <v>0.0001542889357029</v>
      </c>
      <c r="K3398" t="n">
        <v>0.9663927599177804</v>
      </c>
      <c r="L3398" t="b">
        <v>0</v>
      </c>
      <c r="M3398" t="b">
        <v>0</v>
      </c>
      <c r="N3398" t="inlineStr">
        <is>
          <t>ref</t>
        </is>
      </c>
      <c r="O3398" t="n">
        <v>100</v>
      </c>
      <c r="P3398" t="n">
        <v>0.006733</v>
      </c>
      <c r="Q3398" t="n">
        <v>100</v>
      </c>
      <c r="R3398" t="n">
        <v>0.01938</v>
      </c>
      <c r="S3398">
        <f>IMAGE("https://mitra.stanford.edu/kundaje/oak/projects/neuro-variants/variant_position/credible/roussos_2024/variant_figures/roussos_2024.adolescence.Astrocyte/rs34580312_count_position.png",4,220,900)</f>
        <v/>
      </c>
      <c r="T3398">
        <f>IMAGE("https://mitra.stanford.edu/kundaje/oak/projects/neuro-variants/variant_position/credible/roussos_2024/variant_figures/roussos_2024.adolescence.Astrocyte/rs34580312_profile_position.png",4,220,900)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-0.0266347694</v>
      </c>
      <c r="G3399" t="n">
        <v>0.4519622220457194</v>
      </c>
      <c r="H3399" t="n">
        <v>0.0126949286600247</v>
      </c>
      <c r="I3399" t="n">
        <v>0.4868434471640413</v>
      </c>
      <c r="J3399" t="n">
        <v>0.7087796338604873</v>
      </c>
      <c r="K3399" t="n">
        <v>0.0170419218110386</v>
      </c>
      <c r="L3399" t="b">
        <v>0</v>
      </c>
      <c r="M3399" t="b">
        <v>0</v>
      </c>
      <c r="N3399" t="inlineStr">
        <is>
          <t>ref</t>
        </is>
      </c>
      <c r="O3399" t="n">
        <v>-70</v>
      </c>
      <c r="P3399" t="n">
        <v>0.02882</v>
      </c>
      <c r="Q3399" t="n">
        <v>-70</v>
      </c>
      <c r="R3399" t="n">
        <v>0.07000000000000001</v>
      </c>
      <c r="S3399">
        <f>IMAGE("https://mitra.stanford.edu/kundaje/oak/projects/neuro-variants/variant_position/credible/roussos_2024/variant_figures/roussos_2024.adolescence.Astrocyte/rs31853_count_position.png",4,220,900)</f>
        <v/>
      </c>
      <c r="T3399">
        <f>IMAGE("https://mitra.stanford.edu/kundaje/oak/projects/neuro-variants/variant_position/credible/roussos_2024/variant_figures/roussos_2024.adolescence.Astrocyte/rs31853_profile_position.png",4,220,900)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-0.0266368484199999</v>
      </c>
      <c r="G3400" t="n">
        <v>0.496721698969768</v>
      </c>
      <c r="H3400" t="n">
        <v>0.0103480843996113</v>
      </c>
      <c r="I3400" t="n">
        <v>0.7102599255559784</v>
      </c>
      <c r="J3400" t="n">
        <v>0.06762602735661501</v>
      </c>
      <c r="K3400" t="n">
        <v>0.3855336639596402</v>
      </c>
      <c r="L3400" t="b">
        <v>0</v>
      </c>
      <c r="M3400" t="b">
        <v>0</v>
      </c>
      <c r="N3400" t="inlineStr">
        <is>
          <t>ref</t>
        </is>
      </c>
      <c r="O3400" t="n">
        <v>-100</v>
      </c>
      <c r="P3400" t="n">
        <v>0.004005</v>
      </c>
      <c r="Q3400" t="n">
        <v>-70</v>
      </c>
      <c r="R3400" t="n">
        <v>0.145</v>
      </c>
      <c r="S3400">
        <f>IMAGE("https://mitra.stanford.edu/kundaje/oak/projects/neuro-variants/variant_position/credible/roussos_2024/variant_figures/roussos_2024.adolescence.Astrocyte/rs13183611_count_position.png",4,220,900)</f>
        <v/>
      </c>
      <c r="T3400">
        <f>IMAGE("https://mitra.stanford.edu/kundaje/oak/projects/neuro-variants/variant_position/credible/roussos_2024/variant_figures/roussos_2024.adolescence.Astrocyte/rs13183611_profile_position.png",4,220,900)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-0.0005323337999999001</v>
      </c>
      <c r="G3401" t="n">
        <v>0.458472090021324</v>
      </c>
      <c r="H3401" t="n">
        <v>0.0137398482428437</v>
      </c>
      <c r="I3401" t="n">
        <v>0.4054511368271851</v>
      </c>
      <c r="J3401" t="n">
        <v>0.8827886241580869</v>
      </c>
      <c r="K3401" t="n">
        <v>0.0023928585087454</v>
      </c>
      <c r="L3401" t="b">
        <v>0</v>
      </c>
      <c r="M3401" t="b">
        <v>0</v>
      </c>
      <c r="N3401" t="inlineStr">
        <is>
          <t>ref</t>
        </is>
      </c>
      <c r="O3401" t="n">
        <v>-100</v>
      </c>
      <c r="P3401" t="n">
        <v>0.1487</v>
      </c>
      <c r="Q3401" t="n">
        <v>-65</v>
      </c>
      <c r="R3401" t="n">
        <v>0.4053</v>
      </c>
      <c r="S3401">
        <f>IMAGE("https://mitra.stanford.edu/kundaje/oak/projects/neuro-variants/variant_position/credible/roussos_2024/variant_figures/roussos_2024.adolescence.Astrocyte/rs1055410_count_position.png",4,220,900)</f>
        <v/>
      </c>
      <c r="T3401">
        <f>IMAGE("https://mitra.stanford.edu/kundaje/oak/projects/neuro-variants/variant_position/credible/roussos_2024/variant_figures/roussos_2024.adolescence.Astrocyte/rs1055410_profile_position.png",4,220,900)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0.0358892042</v>
      </c>
      <c r="G3402" t="n">
        <v>0.3603332575912099</v>
      </c>
      <c r="H3402" t="n">
        <v>0.0092146620861798</v>
      </c>
      <c r="I3402" t="n">
        <v>0.8307219018070834</v>
      </c>
      <c r="J3402" t="n">
        <v>0.0088308162478117</v>
      </c>
      <c r="K3402" t="n">
        <v>0.6815794845332359</v>
      </c>
      <c r="L3402" t="b">
        <v>0</v>
      </c>
      <c r="M3402" t="b">
        <v>0</v>
      </c>
      <c r="N3402" t="inlineStr">
        <is>
          <t>alt</t>
        </is>
      </c>
      <c r="O3402" t="n">
        <v>55</v>
      </c>
      <c r="P3402" t="n">
        <v>0.004303</v>
      </c>
      <c r="Q3402" t="n">
        <v>55</v>
      </c>
      <c r="R3402" t="n">
        <v>0.01372</v>
      </c>
      <c r="S3402">
        <f>IMAGE("https://mitra.stanford.edu/kundaje/oak/projects/neuro-variants/variant_position/credible/roussos_2024/variant_figures/roussos_2024.adolescence.Astrocyte/rs34535102_count_position.png",4,220,900)</f>
        <v/>
      </c>
      <c r="T3402">
        <f>IMAGE("https://mitra.stanford.edu/kundaje/oak/projects/neuro-variants/variant_position/credible/roussos_2024/variant_figures/roussos_2024.adolescence.Astrocyte/rs34535102_profile_position.png",4,220,900)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-0.050643065</v>
      </c>
      <c r="G3403" t="n">
        <v>0.245080256404954</v>
      </c>
      <c r="H3403" t="n">
        <v>0.0148990100616174</v>
      </c>
      <c r="I3403" t="n">
        <v>0.3194722695458757</v>
      </c>
      <c r="J3403" t="n">
        <v>0.4158413197638192</v>
      </c>
      <c r="K3403" t="n">
        <v>0.0816916435876915</v>
      </c>
      <c r="L3403" t="b">
        <v>0</v>
      </c>
      <c r="M3403" t="b">
        <v>0</v>
      </c>
      <c r="N3403" t="inlineStr">
        <is>
          <t>ref</t>
        </is>
      </c>
      <c r="O3403" t="n">
        <v>-100</v>
      </c>
      <c r="P3403" t="n">
        <v>0.004112</v>
      </c>
      <c r="Q3403" t="n">
        <v>-100</v>
      </c>
      <c r="R3403" t="n">
        <v>0.09080000000000001</v>
      </c>
      <c r="S3403">
        <f>IMAGE("https://mitra.stanford.edu/kundaje/oak/projects/neuro-variants/variant_position/credible/roussos_2024/variant_figures/roussos_2024.adolescence.Astrocyte/rs17844417_count_position.png",4,220,900)</f>
        <v/>
      </c>
      <c r="T3403">
        <f>IMAGE("https://mitra.stanford.edu/kundaje/oak/projects/neuro-variants/variant_position/credible/roussos_2024/variant_figures/roussos_2024.adolescence.Astrocyte/rs17844417_profile_position.png",4,220,900)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0.0160863648</v>
      </c>
      <c r="G3404" t="n">
        <v>0.6063058698996235</v>
      </c>
      <c r="H3404" t="n">
        <v>0.0182111037120073</v>
      </c>
      <c r="I3404" t="n">
        <v>0.1847261090677906</v>
      </c>
      <c r="J3404" t="n">
        <v>0.0013389015814615</v>
      </c>
      <c r="K3404" t="n">
        <v>0.8723021472330604</v>
      </c>
      <c r="L3404" t="b">
        <v>0</v>
      </c>
      <c r="M3404" t="b">
        <v>0</v>
      </c>
      <c r="N3404" t="inlineStr">
        <is>
          <t>alt</t>
        </is>
      </c>
      <c r="O3404" t="n">
        <v>-100</v>
      </c>
      <c r="P3404" t="n">
        <v>0.002716</v>
      </c>
      <c r="Q3404" t="n">
        <v>-60</v>
      </c>
      <c r="R3404" t="n">
        <v>0.0849</v>
      </c>
      <c r="S3404">
        <f>IMAGE("https://mitra.stanford.edu/kundaje/oak/projects/neuro-variants/variant_position/credible/roussos_2024/variant_figures/roussos_2024.adolescence.Astrocyte/rs74601574_count_position.png",4,220,900)</f>
        <v/>
      </c>
      <c r="T3404">
        <f>IMAGE("https://mitra.stanford.edu/kundaje/oak/projects/neuro-variants/variant_position/credible/roussos_2024/variant_figures/roussos_2024.adolescence.Astrocyte/rs74601574_profile_position.png",4,220,900)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0.0596059877999999</v>
      </c>
      <c r="G3405" t="n">
        <v>0.1965348803598909</v>
      </c>
      <c r="H3405" t="n">
        <v>0.0159704209046308</v>
      </c>
      <c r="I3405" t="n">
        <v>0.2698632209172093</v>
      </c>
      <c r="J3405" t="n">
        <v>0.0006216063851882</v>
      </c>
      <c r="K3405" t="n">
        <v>0.9048821785168024</v>
      </c>
      <c r="L3405" t="b">
        <v>0</v>
      </c>
      <c r="M3405" t="b">
        <v>0</v>
      </c>
      <c r="N3405" t="inlineStr">
        <is>
          <t>alt</t>
        </is>
      </c>
      <c r="O3405" t="n">
        <v>100</v>
      </c>
      <c r="P3405" t="n">
        <v>0.00551</v>
      </c>
      <c r="Q3405" t="n">
        <v>55</v>
      </c>
      <c r="R3405" t="n">
        <v>0.0654</v>
      </c>
      <c r="S3405">
        <f>IMAGE("https://mitra.stanford.edu/kundaje/oak/projects/neuro-variants/variant_position/credible/roussos_2024/variant_figures/roussos_2024.adolescence.Astrocyte/rs35737105_count_position.png",4,220,900)</f>
        <v/>
      </c>
      <c r="T3405">
        <f>IMAGE("https://mitra.stanford.edu/kundaje/oak/projects/neuro-variants/variant_position/credible/roussos_2024/variant_figures/roussos_2024.adolescence.Astrocyte/rs35737105_profile_position.png",4,220,900)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0.239689768</v>
      </c>
      <c r="G3406" t="n">
        <v>0.0167312304151399</v>
      </c>
      <c r="H3406" t="n">
        <v>0.029815679784998</v>
      </c>
      <c r="I3406" t="n">
        <v>0.0367685713472322</v>
      </c>
      <c r="J3406" t="n">
        <v>0.0190042429457317</v>
      </c>
      <c r="K3406" t="n">
        <v>0.5831955795257795</v>
      </c>
      <c r="L3406" t="b">
        <v>1</v>
      </c>
      <c r="M3406" t="b">
        <v>0</v>
      </c>
      <c r="N3406" t="inlineStr">
        <is>
          <t>alt</t>
        </is>
      </c>
      <c r="O3406" t="n">
        <v>95</v>
      </c>
      <c r="P3406" t="n">
        <v>0.02502</v>
      </c>
      <c r="Q3406" t="n">
        <v>-100</v>
      </c>
      <c r="R3406" t="n">
        <v>0.10376</v>
      </c>
      <c r="S3406">
        <f>IMAGE("https://mitra.stanford.edu/kundaje/oak/projects/neuro-variants/variant_position/credible/roussos_2024/variant_figures/roussos_2024.adolescence.Astrocyte/rs3864272_count_position.png",4,220,900)</f>
        <v/>
      </c>
      <c r="T3406">
        <f>IMAGE("https://mitra.stanford.edu/kundaje/oak/projects/neuro-variants/variant_position/credible/roussos_2024/variant_figures/roussos_2024.adolescence.Astrocyte/rs3864272_profile_position.png",4,220,900)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0.04988682</v>
      </c>
      <c r="G3407" t="n">
        <v>0.2475784156101646</v>
      </c>
      <c r="H3407" t="n">
        <v>0.0121247635419221</v>
      </c>
      <c r="I3407" t="n">
        <v>0.509061186688731</v>
      </c>
      <c r="J3407" t="n">
        <v>0.1718697148621784</v>
      </c>
      <c r="K3407" t="n">
        <v>0.2298928746971081</v>
      </c>
      <c r="L3407" t="b">
        <v>0</v>
      </c>
      <c r="M3407" t="b">
        <v>0</v>
      </c>
      <c r="N3407" t="inlineStr">
        <is>
          <t>alt</t>
        </is>
      </c>
      <c r="O3407" t="n">
        <v>100</v>
      </c>
      <c r="P3407" t="n">
        <v>0.06370000000000001</v>
      </c>
      <c r="Q3407" t="n">
        <v>25</v>
      </c>
      <c r="R3407" t="n">
        <v>0.03662</v>
      </c>
      <c r="S3407">
        <f>IMAGE("https://mitra.stanford.edu/kundaje/oak/projects/neuro-variants/variant_position/credible/roussos_2024/variant_figures/roussos_2024.adolescence.Astrocyte/rs12657267_count_position.png",4,220,900)</f>
        <v/>
      </c>
      <c r="T3407">
        <f>IMAGE("https://mitra.stanford.edu/kundaje/oak/projects/neuro-variants/variant_position/credible/roussos_2024/variant_figures/roussos_2024.adolescence.Astrocyte/rs12657267_profile_position.png",4,220,900)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-0.090126964</v>
      </c>
      <c r="G3408" t="n">
        <v>0.0937629998628052</v>
      </c>
      <c r="H3408" t="n">
        <v>0.0167346634774402</v>
      </c>
      <c r="I3408" t="n">
        <v>0.2363243791675012</v>
      </c>
      <c r="J3408" t="n">
        <v>0.3627377384802539</v>
      </c>
      <c r="K3408" t="n">
        <v>0.1038540537883289</v>
      </c>
      <c r="L3408" t="b">
        <v>0</v>
      </c>
      <c r="M3408" t="b">
        <v>0</v>
      </c>
      <c r="N3408" t="inlineStr">
        <is>
          <t>ref</t>
        </is>
      </c>
      <c r="O3408" t="n">
        <v>100</v>
      </c>
      <c r="P3408" t="n">
        <v>0.06519999999999999</v>
      </c>
      <c r="Q3408" t="n">
        <v>-100</v>
      </c>
      <c r="R3408" t="n">
        <v>0.186</v>
      </c>
      <c r="S3408">
        <f>IMAGE("https://mitra.stanford.edu/kundaje/oak/projects/neuro-variants/variant_position/credible/roussos_2024/variant_figures/roussos_2024.adolescence.Astrocyte/rs17454953_count_position.png",4,220,900)</f>
        <v/>
      </c>
      <c r="T3408">
        <f>IMAGE("https://mitra.stanford.edu/kundaje/oak/projects/neuro-variants/variant_position/credible/roussos_2024/variant_figures/roussos_2024.adolescence.Astrocyte/rs17454953_profile_position.png",4,220,900)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-0.0229946831999999</v>
      </c>
      <c r="G3409" t="n">
        <v>0.5081851181056246</v>
      </c>
      <c r="H3409" t="n">
        <v>0.0261018896375176</v>
      </c>
      <c r="I3409" t="n">
        <v>0.0538907844367465</v>
      </c>
      <c r="J3409" t="n">
        <v>0.1203817167611191</v>
      </c>
      <c r="K3409" t="n">
        <v>0.2926575209186403</v>
      </c>
      <c r="L3409" t="b">
        <v>0</v>
      </c>
      <c r="M3409" t="b">
        <v>0</v>
      </c>
      <c r="N3409" t="inlineStr">
        <is>
          <t>ref</t>
        </is>
      </c>
      <c r="O3409" t="n">
        <v>15</v>
      </c>
      <c r="P3409" t="n">
        <v>0.003864</v>
      </c>
      <c r="Q3409" t="n">
        <v>55</v>
      </c>
      <c r="R3409" t="n">
        <v>0.0815</v>
      </c>
      <c r="S3409">
        <f>IMAGE("https://mitra.stanford.edu/kundaje/oak/projects/neuro-variants/variant_position/credible/roussos_2024/variant_figures/roussos_2024.adolescence.Astrocyte/rs17455625_count_position.png",4,220,900)</f>
        <v/>
      </c>
      <c r="T3409">
        <f>IMAGE("https://mitra.stanford.edu/kundaje/oak/projects/neuro-variants/variant_position/credible/roussos_2024/variant_figures/roussos_2024.adolescence.Astrocyte/rs17455625_profile_position.png",4,220,900)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0.0267986502</v>
      </c>
      <c r="G3410" t="n">
        <v>0.4268757686553774</v>
      </c>
      <c r="H3410" t="n">
        <v>0.0108061698408216</v>
      </c>
      <c r="I3410" t="n">
        <v>0.655197625546344</v>
      </c>
      <c r="J3410" t="n">
        <v>0.002191199596475</v>
      </c>
      <c r="K3410" t="n">
        <v>0.8163867555419028</v>
      </c>
      <c r="L3410" t="b">
        <v>0</v>
      </c>
      <c r="M3410" t="b">
        <v>0</v>
      </c>
      <c r="N3410" t="inlineStr">
        <is>
          <t>alt</t>
        </is>
      </c>
      <c r="O3410" t="n">
        <v>80</v>
      </c>
      <c r="P3410" t="n">
        <v>0.01031</v>
      </c>
      <c r="Q3410" t="n">
        <v>25</v>
      </c>
      <c r="R3410" t="n">
        <v>0.01596</v>
      </c>
      <c r="S3410">
        <f>IMAGE("https://mitra.stanford.edu/kundaje/oak/projects/neuro-variants/variant_position/credible/roussos_2024/variant_figures/roussos_2024.adolescence.Astrocyte/rs12657990_count_position.png",4,220,900)</f>
        <v/>
      </c>
      <c r="T3410">
        <f>IMAGE("https://mitra.stanford.edu/kundaje/oak/projects/neuro-variants/variant_position/credible/roussos_2024/variant_figures/roussos_2024.adolescence.Astrocyte/rs12657990_profile_position.png",4,220,900)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0.04974999976</v>
      </c>
      <c r="G3411" t="n">
        <v>0.2251633660310521</v>
      </c>
      <c r="H3411" t="n">
        <v>0.014034873325503</v>
      </c>
      <c r="I3411" t="n">
        <v>0.3861397580271745</v>
      </c>
      <c r="J3411" t="n">
        <v>0.0054817078598344</v>
      </c>
      <c r="K3411" t="n">
        <v>0.7365754070885127</v>
      </c>
      <c r="L3411" t="b">
        <v>0</v>
      </c>
      <c r="M3411" t="b">
        <v>0</v>
      </c>
      <c r="N3411" t="inlineStr">
        <is>
          <t>alt</t>
        </is>
      </c>
      <c r="O3411" t="n">
        <v>-55</v>
      </c>
      <c r="P3411" t="n">
        <v>0.01715</v>
      </c>
      <c r="Q3411" t="n">
        <v>95</v>
      </c>
      <c r="R3411" t="n">
        <v>0.1648</v>
      </c>
      <c r="S3411">
        <f>IMAGE("https://mitra.stanford.edu/kundaje/oak/projects/neuro-variants/variant_position/credible/roussos_2024/variant_figures/roussos_2024.adolescence.Astrocyte/rs77257050_count_position.png",4,220,900)</f>
        <v/>
      </c>
      <c r="T3411">
        <f>IMAGE("https://mitra.stanford.edu/kundaje/oak/projects/neuro-variants/variant_position/credible/roussos_2024/variant_figures/roussos_2024.adolescence.Astrocyte/rs77257050_profile_position.png",4,220,900)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-0.0062404913</v>
      </c>
      <c r="G3412" t="n">
        <v>0.6896002035281841</v>
      </c>
      <c r="H3412" t="n">
        <v>0.0263728134852491</v>
      </c>
      <c r="I3412" t="n">
        <v>0.0517279833376223</v>
      </c>
      <c r="J3412" t="n">
        <v>0.0010162300091979</v>
      </c>
      <c r="K3412" t="n">
        <v>0.8908763829273345</v>
      </c>
      <c r="L3412" t="b">
        <v>0</v>
      </c>
      <c r="M3412" t="b">
        <v>0</v>
      </c>
      <c r="N3412" t="inlineStr">
        <is>
          <t>ref</t>
        </is>
      </c>
      <c r="O3412" t="n">
        <v>100</v>
      </c>
      <c r="P3412" t="n">
        <v>0.00728</v>
      </c>
      <c r="Q3412" t="n">
        <v>25</v>
      </c>
      <c r="R3412" t="n">
        <v>0.04492</v>
      </c>
      <c r="S3412">
        <f>IMAGE("https://mitra.stanford.edu/kundaje/oak/projects/neuro-variants/variant_position/credible/roussos_2024/variant_figures/roussos_2024.adolescence.Astrocyte/rs4133347_count_position.png",4,220,900)</f>
        <v/>
      </c>
      <c r="T3412">
        <f>IMAGE("https://mitra.stanford.edu/kundaje/oak/projects/neuro-variants/variant_position/credible/roussos_2024/variant_figures/roussos_2024.adolescence.Astrocyte/rs4133347_profile_position.png",4,220,900)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0.01135926436</v>
      </c>
      <c r="G3413" t="n">
        <v>0.7023440706207771</v>
      </c>
      <c r="H3413" t="n">
        <v>0.0159221807941462</v>
      </c>
      <c r="I3413" t="n">
        <v>0.2724435306784207</v>
      </c>
      <c r="J3413" t="n">
        <v>0.0306560246862296</v>
      </c>
      <c r="K3413" t="n">
        <v>0.5190341465090278</v>
      </c>
      <c r="L3413" t="b">
        <v>0</v>
      </c>
      <c r="M3413" t="b">
        <v>0</v>
      </c>
      <c r="N3413" t="inlineStr">
        <is>
          <t>alt</t>
        </is>
      </c>
      <c r="O3413" t="n">
        <v>70</v>
      </c>
      <c r="P3413" t="n">
        <v>0.01747</v>
      </c>
      <c r="Q3413" t="n">
        <v>80</v>
      </c>
      <c r="R3413" t="n">
        <v>0.07965</v>
      </c>
      <c r="S3413">
        <f>IMAGE("https://mitra.stanford.edu/kundaje/oak/projects/neuro-variants/variant_position/credible/roussos_2024/variant_figures/roussos_2024.adolescence.Astrocyte/rs55737372_count_position.png",4,220,900)</f>
        <v/>
      </c>
      <c r="T3413">
        <f>IMAGE("https://mitra.stanford.edu/kundaje/oak/projects/neuro-variants/variant_position/credible/roussos_2024/variant_figures/roussos_2024.adolescence.Astrocyte/rs55737372_profile_position.png",4,220,900)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-0.16417745</v>
      </c>
      <c r="G3414" t="n">
        <v>0.0321500531256792</v>
      </c>
      <c r="H3414" t="n">
        <v>0.0248341759467908</v>
      </c>
      <c r="I3414" t="n">
        <v>0.06587691928168619</v>
      </c>
      <c r="J3414" t="n">
        <v>0.07008129840073581</v>
      </c>
      <c r="K3414" t="n">
        <v>0.3830633127154162</v>
      </c>
      <c r="L3414" t="b">
        <v>0</v>
      </c>
      <c r="M3414" t="b">
        <v>0</v>
      </c>
      <c r="N3414" t="inlineStr">
        <is>
          <t>ref</t>
        </is>
      </c>
      <c r="O3414" t="n">
        <v>60</v>
      </c>
      <c r="P3414" t="n">
        <v>0.0045</v>
      </c>
      <c r="Q3414" t="n">
        <v>-45</v>
      </c>
      <c r="R3414" t="n">
        <v>0.1061</v>
      </c>
      <c r="S3414">
        <f>IMAGE("https://mitra.stanford.edu/kundaje/oak/projects/neuro-variants/variant_position/credible/roussos_2024/variant_figures/roussos_2024.adolescence.Astrocyte/rs11167589_count_position.png",4,220,900)</f>
        <v/>
      </c>
      <c r="T3414">
        <f>IMAGE("https://mitra.stanford.edu/kundaje/oak/projects/neuro-variants/variant_position/credible/roussos_2024/variant_figures/roussos_2024.adolescence.Astrocyte/rs11167589_profile_position.png",4,220,900)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0.0454270671999999</v>
      </c>
      <c r="G3415" t="n">
        <v>0.2560486615084165</v>
      </c>
      <c r="H3415" t="n">
        <v>0.0143917551157422</v>
      </c>
      <c r="I3415" t="n">
        <v>0.3620764222690494</v>
      </c>
      <c r="J3415" t="n">
        <v>0.0260963415719668</v>
      </c>
      <c r="K3415" t="n">
        <v>0.542763836318372</v>
      </c>
      <c r="L3415" t="b">
        <v>0</v>
      </c>
      <c r="M3415" t="b">
        <v>0</v>
      </c>
      <c r="N3415" t="inlineStr">
        <is>
          <t>alt</t>
        </is>
      </c>
      <c r="O3415" t="n">
        <v>-80</v>
      </c>
      <c r="P3415" t="n">
        <v>0.005264</v>
      </c>
      <c r="Q3415" t="n">
        <v>-90</v>
      </c>
      <c r="R3415" t="n">
        <v>0.0745</v>
      </c>
      <c r="S3415">
        <f>IMAGE("https://mitra.stanford.edu/kundaje/oak/projects/neuro-variants/variant_position/credible/roussos_2024/variant_figures/roussos_2024.adolescence.Astrocyte/rs72799143_count_position.png",4,220,900)</f>
        <v/>
      </c>
      <c r="T3415">
        <f>IMAGE("https://mitra.stanford.edu/kundaje/oak/projects/neuro-variants/variant_position/credible/roussos_2024/variant_figures/roussos_2024.adolescence.Astrocyte/rs72799143_profile_position.png",4,220,900)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0.02339307166</v>
      </c>
      <c r="G3416" t="n">
        <v>0.516850625703159</v>
      </c>
      <c r="H3416" t="n">
        <v>0.0109297500110287</v>
      </c>
      <c r="I3416" t="n">
        <v>0.6635248115589616</v>
      </c>
      <c r="J3416" t="n">
        <v>0.0321870456635907</v>
      </c>
      <c r="K3416" t="n">
        <v>0.504605868963522</v>
      </c>
      <c r="L3416" t="b">
        <v>0</v>
      </c>
      <c r="M3416" t="b">
        <v>0</v>
      </c>
      <c r="N3416" t="inlineStr">
        <is>
          <t>alt</t>
        </is>
      </c>
      <c r="O3416" t="n">
        <v>100</v>
      </c>
      <c r="P3416" t="n">
        <v>0.00978</v>
      </c>
      <c r="Q3416" t="n">
        <v>-65</v>
      </c>
      <c r="R3416" t="n">
        <v>0.1576</v>
      </c>
      <c r="S3416">
        <f>IMAGE("https://mitra.stanford.edu/kundaje/oak/projects/neuro-variants/variant_position/credible/roussos_2024/variant_figures/roussos_2024.adolescence.Astrocyte/rs72799151_count_position.png",4,220,900)</f>
        <v/>
      </c>
      <c r="T3416">
        <f>IMAGE("https://mitra.stanford.edu/kundaje/oak/projects/neuro-variants/variant_position/credible/roussos_2024/variant_figures/roussos_2024.adolescence.Astrocyte/rs72799151_profile_position.png",4,220,900)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0.002862262248</v>
      </c>
      <c r="G3417" t="n">
        <v>0.9084902097401176</v>
      </c>
      <c r="H3417" t="n">
        <v>0.0229692558004754</v>
      </c>
      <c r="I3417" t="n">
        <v>0.085454404365707</v>
      </c>
      <c r="J3417" t="n">
        <v>9.791413227307376e-05</v>
      </c>
      <c r="K3417" t="n">
        <v>0.9786550474283096</v>
      </c>
      <c r="L3417" t="b">
        <v>0</v>
      </c>
      <c r="M3417" t="b">
        <v>0</v>
      </c>
      <c r="N3417" t="inlineStr">
        <is>
          <t>alt</t>
        </is>
      </c>
      <c r="O3417" t="n">
        <v>-55</v>
      </c>
      <c r="P3417" t="n">
        <v>0.004578</v>
      </c>
      <c r="Q3417" t="n">
        <v>30</v>
      </c>
      <c r="R3417" t="n">
        <v>0.007202</v>
      </c>
      <c r="S3417">
        <f>IMAGE("https://mitra.stanford.edu/kundaje/oak/projects/neuro-variants/variant_position/credible/roussos_2024/variant_figures/roussos_2024.adolescence.Astrocyte/rs72799160_count_position.png",4,220,900)</f>
        <v/>
      </c>
      <c r="T3417">
        <f>IMAGE("https://mitra.stanford.edu/kundaje/oak/projects/neuro-variants/variant_position/credible/roussos_2024/variant_figures/roussos_2024.adolescence.Astrocyte/rs72799160_profile_position.png",4,220,900)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-0.032902993</v>
      </c>
      <c r="G3418" t="n">
        <v>0.3870135626385323</v>
      </c>
      <c r="H3418" t="n">
        <v>0.0149786543844122</v>
      </c>
      <c r="I3418" t="n">
        <v>0.3276058238355293</v>
      </c>
      <c r="J3418" t="n">
        <v>0.0023046909770643</v>
      </c>
      <c r="K3418" t="n">
        <v>0.8095205831945691</v>
      </c>
      <c r="L3418" t="b">
        <v>0</v>
      </c>
      <c r="M3418" t="b">
        <v>0</v>
      </c>
      <c r="N3418" t="inlineStr">
        <is>
          <t>ref</t>
        </is>
      </c>
      <c r="O3418" t="n">
        <v>5</v>
      </c>
      <c r="P3418" t="n">
        <v>0.001514</v>
      </c>
      <c r="Q3418" t="n">
        <v>0</v>
      </c>
      <c r="R3418" t="n">
        <v>0</v>
      </c>
      <c r="S3418">
        <f>IMAGE("https://mitra.stanford.edu/kundaje/oak/projects/neuro-variants/variant_position/credible/roussos_2024/variant_figures/roussos_2024.adolescence.Astrocyte/rs56208248_count_position.png",4,220,900)</f>
        <v/>
      </c>
      <c r="T3418">
        <f>IMAGE("https://mitra.stanford.edu/kundaje/oak/projects/neuro-variants/variant_position/credible/roussos_2024/variant_figures/roussos_2024.adolescence.Astrocyte/rs56208248_profile_position.png",4,220,900)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0.0006616390799999</v>
      </c>
      <c r="G3419" t="n">
        <v>0.7917003022124609</v>
      </c>
      <c r="H3419" t="n">
        <v>0.006928903599388</v>
      </c>
      <c r="I3419" t="n">
        <v>0.9773521377351344</v>
      </c>
      <c r="J3419" t="n">
        <v>0.0018967154259264</v>
      </c>
      <c r="K3419" t="n">
        <v>0.8602782707602228</v>
      </c>
      <c r="L3419" t="b">
        <v>0</v>
      </c>
      <c r="M3419" t="b">
        <v>0</v>
      </c>
      <c r="N3419" t="inlineStr">
        <is>
          <t>alt</t>
        </is>
      </c>
      <c r="O3419" t="n">
        <v>-100</v>
      </c>
      <c r="P3419" t="n">
        <v>0.02362</v>
      </c>
      <c r="Q3419" t="n">
        <v>-100</v>
      </c>
      <c r="R3419" t="n">
        <v>0.1094</v>
      </c>
      <c r="S3419">
        <f>IMAGE("https://mitra.stanford.edu/kundaje/oak/projects/neuro-variants/variant_position/credible/roussos_2024/variant_figures/roussos_2024.adolescence.Astrocyte/rs56286804_count_position.png",4,220,900)</f>
        <v/>
      </c>
      <c r="T3419">
        <f>IMAGE("https://mitra.stanford.edu/kundaje/oak/projects/neuro-variants/variant_position/credible/roussos_2024/variant_figures/roussos_2024.adolescence.Astrocyte/rs56286804_profile_position.png",4,220,900)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0.0422993022</v>
      </c>
      <c r="G3420" t="n">
        <v>0.2946624850161523</v>
      </c>
      <c r="H3420" t="n">
        <v>0.0110756426242934</v>
      </c>
      <c r="I3420" t="n">
        <v>0.6485599662171886</v>
      </c>
      <c r="J3420" t="n">
        <v>0.0007618016200337</v>
      </c>
      <c r="K3420" t="n">
        <v>0.9134014592679596</v>
      </c>
      <c r="L3420" t="b">
        <v>0</v>
      </c>
      <c r="M3420" t="b">
        <v>0</v>
      </c>
      <c r="N3420" t="inlineStr">
        <is>
          <t>alt</t>
        </is>
      </c>
      <c r="O3420" t="n">
        <v>-100</v>
      </c>
      <c r="P3420" t="n">
        <v>0.00781</v>
      </c>
      <c r="Q3420" t="n">
        <v>100</v>
      </c>
      <c r="R3420" t="n">
        <v>0.05295</v>
      </c>
      <c r="S3420">
        <f>IMAGE("https://mitra.stanford.edu/kundaje/oak/projects/neuro-variants/variant_position/credible/roussos_2024/variant_figures/roussos_2024.adolescence.Astrocyte/rs72799178_count_position.png",4,220,900)</f>
        <v/>
      </c>
      <c r="T3420">
        <f>IMAGE("https://mitra.stanford.edu/kundaje/oak/projects/neuro-variants/variant_position/credible/roussos_2024/variant_figures/roussos_2024.adolescence.Astrocyte/rs72799178_profile_position.png",4,220,900)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-0.01120788576</v>
      </c>
      <c r="G3421" t="n">
        <v>0.7305769426218538</v>
      </c>
      <c r="H3421" t="n">
        <v>0.0251764442598544</v>
      </c>
      <c r="I3421" t="n">
        <v>0.061794746925453</v>
      </c>
      <c r="J3421" t="n">
        <v>0.0100925733614217</v>
      </c>
      <c r="K3421" t="n">
        <v>0.6657589705528023</v>
      </c>
      <c r="L3421" t="b">
        <v>0</v>
      </c>
      <c r="M3421" t="b">
        <v>0</v>
      </c>
      <c r="N3421" t="inlineStr">
        <is>
          <t>ref</t>
        </is>
      </c>
      <c r="O3421" t="n">
        <v>-100</v>
      </c>
      <c r="P3421" t="n">
        <v>0.00467</v>
      </c>
      <c r="Q3421" t="n">
        <v>-100</v>
      </c>
      <c r="R3421" t="n">
        <v>0.07679999999999999</v>
      </c>
      <c r="S3421">
        <f>IMAGE("https://mitra.stanford.edu/kundaje/oak/projects/neuro-variants/variant_position/credible/roussos_2024/variant_figures/roussos_2024.adolescence.Astrocyte/rs111294930_count_position.png",4,220,900)</f>
        <v/>
      </c>
      <c r="T3421">
        <f>IMAGE("https://mitra.stanford.edu/kundaje/oak/projects/neuro-variants/variant_position/credible/roussos_2024/variant_figures/roussos_2024.adolescence.Astrocyte/rs111294930_profile_position.png",4,220,900)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-0.0165360772</v>
      </c>
      <c r="G3422" t="n">
        <v>0.626449550420338</v>
      </c>
      <c r="H3422" t="n">
        <v>0.013180602264457</v>
      </c>
      <c r="I3422" t="n">
        <v>0.4523118702638584</v>
      </c>
      <c r="J3422" t="n">
        <v>0.0223073613624899</v>
      </c>
      <c r="K3422" t="n">
        <v>0.575759780221391</v>
      </c>
      <c r="L3422" t="b">
        <v>0</v>
      </c>
      <c r="M3422" t="b">
        <v>0</v>
      </c>
      <c r="N3422" t="inlineStr">
        <is>
          <t>ref</t>
        </is>
      </c>
      <c r="O3422" t="n">
        <v>70</v>
      </c>
      <c r="P3422" t="n">
        <v>0.001785</v>
      </c>
      <c r="Q3422" t="n">
        <v>100</v>
      </c>
      <c r="R3422" t="n">
        <v>0.06244</v>
      </c>
      <c r="S3422">
        <f>IMAGE("https://mitra.stanford.edu/kundaje/oak/projects/neuro-variants/variant_position/credible/roussos_2024/variant_figures/roussos_2024.adolescence.Astrocyte/rs55918828_count_position.png",4,220,900)</f>
        <v/>
      </c>
      <c r="T3422">
        <f>IMAGE("https://mitra.stanford.edu/kundaje/oak/projects/neuro-variants/variant_position/credible/roussos_2024/variant_figures/roussos_2024.adolescence.Astrocyte/rs55918828_profile_position.png",4,220,900)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-0.05488285</v>
      </c>
      <c r="G3423" t="n">
        <v>0.2271071207318571</v>
      </c>
      <c r="H3423" t="n">
        <v>0.0128512759002671</v>
      </c>
      <c r="I3423" t="n">
        <v>0.4767943169049361</v>
      </c>
      <c r="J3423" t="n">
        <v>0.0156848055069281</v>
      </c>
      <c r="K3423" t="n">
        <v>0.6310283479219891</v>
      </c>
      <c r="L3423" t="b">
        <v>0</v>
      </c>
      <c r="M3423" t="b">
        <v>0</v>
      </c>
      <c r="N3423" t="inlineStr">
        <is>
          <t>ref</t>
        </is>
      </c>
      <c r="O3423" t="n">
        <v>40</v>
      </c>
      <c r="P3423" t="n">
        <v>0.02295</v>
      </c>
      <c r="Q3423" t="n">
        <v>-60</v>
      </c>
      <c r="R3423" t="n">
        <v>0.0459</v>
      </c>
      <c r="S3423">
        <f>IMAGE("https://mitra.stanford.edu/kundaje/oak/projects/neuro-variants/variant_position/credible/roussos_2024/variant_figures/roussos_2024.adolescence.Astrocyte/rs55830548_count_position.png",4,220,900)</f>
        <v/>
      </c>
      <c r="T3423">
        <f>IMAGE("https://mitra.stanford.edu/kundaje/oak/projects/neuro-variants/variant_position/credible/roussos_2024/variant_figures/roussos_2024.adolescence.Astrocyte/rs55830548_profile_position.png",4,220,900)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0.0210738736</v>
      </c>
      <c r="G3424" t="n">
        <v>0.5241278475652625</v>
      </c>
      <c r="H3424" t="n">
        <v>0.0242322488558243</v>
      </c>
      <c r="I3424" t="n">
        <v>0.07041769984337561</v>
      </c>
      <c r="J3424" t="n">
        <v>0.1016541554164317</v>
      </c>
      <c r="K3424" t="n">
        <v>0.3190985203800747</v>
      </c>
      <c r="L3424" t="b">
        <v>0</v>
      </c>
      <c r="M3424" t="b">
        <v>0</v>
      </c>
      <c r="N3424" t="inlineStr">
        <is>
          <t>alt</t>
        </is>
      </c>
      <c r="O3424" t="n">
        <v>20</v>
      </c>
      <c r="P3424" t="n">
        <v>0.005737</v>
      </c>
      <c r="Q3424" t="n">
        <v>65</v>
      </c>
      <c r="R3424" t="n">
        <v>0.1105</v>
      </c>
      <c r="S3424">
        <f>IMAGE("https://mitra.stanford.edu/kundaje/oak/projects/neuro-variants/variant_position/credible/roussos_2024/variant_figures/roussos_2024.adolescence.Astrocyte/rs55829928_count_position.png",4,220,900)</f>
        <v/>
      </c>
      <c r="T3424">
        <f>IMAGE("https://mitra.stanford.edu/kundaje/oak/projects/neuro-variants/variant_position/credible/roussos_2024/variant_figures/roussos_2024.adolescence.Astrocyte/rs55829928_profile_position.png",4,220,900)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0.168790398</v>
      </c>
      <c r="G3425" t="n">
        <v>0.0273890032578603</v>
      </c>
      <c r="H3425" t="n">
        <v>0.0258403423786234</v>
      </c>
      <c r="I3425" t="n">
        <v>0.058540567775401</v>
      </c>
      <c r="J3425" t="n">
        <v>0.1242812212562679</v>
      </c>
      <c r="K3425" t="n">
        <v>0.2880728680657524</v>
      </c>
      <c r="L3425" t="b">
        <v>0</v>
      </c>
      <c r="M3425" t="b">
        <v>0</v>
      </c>
      <c r="N3425" t="inlineStr">
        <is>
          <t>alt</t>
        </is>
      </c>
      <c r="O3425" t="n">
        <v>-70</v>
      </c>
      <c r="P3425" t="n">
        <v>0.01288</v>
      </c>
      <c r="Q3425" t="n">
        <v>-70</v>
      </c>
      <c r="R3425" t="n">
        <v>0.2262</v>
      </c>
      <c r="S3425">
        <f>IMAGE("https://mitra.stanford.edu/kundaje/oak/projects/neuro-variants/variant_position/credible/roussos_2024/variant_figures/roussos_2024.adolescence.Astrocyte/rs72799198_count_position.png",4,220,900)</f>
        <v/>
      </c>
      <c r="T3425">
        <f>IMAGE("https://mitra.stanford.edu/kundaje/oak/projects/neuro-variants/variant_position/credible/roussos_2024/variant_figures/roussos_2024.adolescence.Astrocyte/rs72799198_profile_position.png",4,220,900)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-0.120916502</v>
      </c>
      <c r="G3426" t="n">
        <v>0.0666788897495625</v>
      </c>
      <c r="H3426" t="n">
        <v>0.0193165427784697</v>
      </c>
      <c r="I3426" t="n">
        <v>0.1526783956552109</v>
      </c>
      <c r="J3426" t="n">
        <v>0.0792622318487967</v>
      </c>
      <c r="K3426" t="n">
        <v>0.3685527721915756</v>
      </c>
      <c r="L3426" t="b">
        <v>0</v>
      </c>
      <c r="M3426" t="b">
        <v>0</v>
      </c>
      <c r="N3426" t="inlineStr">
        <is>
          <t>ref</t>
        </is>
      </c>
      <c r="O3426" t="n">
        <v>85</v>
      </c>
      <c r="P3426" t="n">
        <v>0.01375</v>
      </c>
      <c r="Q3426" t="n">
        <v>-90</v>
      </c>
      <c r="R3426" t="n">
        <v>0.2534</v>
      </c>
      <c r="S3426">
        <f>IMAGE("https://mitra.stanford.edu/kundaje/oak/projects/neuro-variants/variant_position/credible/roussos_2024/variant_figures/roussos_2024.adolescence.Astrocyte/rs72799201_count_position.png",4,220,900)</f>
        <v/>
      </c>
      <c r="T3426">
        <f>IMAGE("https://mitra.stanford.edu/kundaje/oak/projects/neuro-variants/variant_position/credible/roussos_2024/variant_figures/roussos_2024.adolescence.Astrocyte/rs72799201_profile_position.png",4,220,900)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0.0133528744</v>
      </c>
      <c r="G3427" t="n">
        <v>0.6499569425730971</v>
      </c>
      <c r="H3427" t="n">
        <v>0.0224650845422154</v>
      </c>
      <c r="I3427" t="n">
        <v>0.091647094130931</v>
      </c>
      <c r="J3427" t="n">
        <v>0.0388422395632435</v>
      </c>
      <c r="K3427" t="n">
        <v>0.4849597558550334</v>
      </c>
      <c r="L3427" t="b">
        <v>0</v>
      </c>
      <c r="M3427" t="b">
        <v>0</v>
      </c>
      <c r="N3427" t="inlineStr">
        <is>
          <t>alt</t>
        </is>
      </c>
      <c r="O3427" t="n">
        <v>60</v>
      </c>
      <c r="P3427" t="n">
        <v>0.001003</v>
      </c>
      <c r="Q3427" t="n">
        <v>-80</v>
      </c>
      <c r="R3427" t="n">
        <v>0.0867</v>
      </c>
      <c r="S3427">
        <f>IMAGE("https://mitra.stanford.edu/kundaje/oak/projects/neuro-variants/variant_position/credible/roussos_2024/variant_figures/roussos_2024.adolescence.Astrocyte/rs115283145_count_position.png",4,220,900)</f>
        <v/>
      </c>
      <c r="T3427">
        <f>IMAGE("https://mitra.stanford.edu/kundaje/oak/projects/neuro-variants/variant_position/credible/roussos_2024/variant_figures/roussos_2024.adolescence.Astrocyte/rs115283145_profile_position.png",4,220,900)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-0.0368811277</v>
      </c>
      <c r="G3428" t="n">
        <v>0.3466203843667729</v>
      </c>
      <c r="H3428" t="n">
        <v>0.0179215352333789</v>
      </c>
      <c r="I3428" t="n">
        <v>0.1965617206794879</v>
      </c>
      <c r="J3428" t="n">
        <v>0.0009962021185056999</v>
      </c>
      <c r="K3428" t="n">
        <v>0.893504929645056</v>
      </c>
      <c r="L3428" t="b">
        <v>0</v>
      </c>
      <c r="M3428" t="b">
        <v>0</v>
      </c>
      <c r="N3428" t="inlineStr">
        <is>
          <t>ref</t>
        </is>
      </c>
      <c r="O3428" t="n">
        <v>100</v>
      </c>
      <c r="P3428" t="n">
        <v>0.02292</v>
      </c>
      <c r="Q3428" t="n">
        <v>45</v>
      </c>
      <c r="R3428" t="n">
        <v>0.0857</v>
      </c>
      <c r="S3428">
        <f>IMAGE("https://mitra.stanford.edu/kundaje/oak/projects/neuro-variants/variant_position/credible/roussos_2024/variant_figures/roussos_2024.adolescence.Astrocyte/rs72802883_count_position.png",4,220,900)</f>
        <v/>
      </c>
      <c r="T3428">
        <f>IMAGE("https://mitra.stanford.edu/kundaje/oak/projects/neuro-variants/variant_position/credible/roussos_2024/variant_figures/roussos_2024.adolescence.Astrocyte/rs72802883_profile_position.png",4,220,900)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0.0065529271399999</v>
      </c>
      <c r="G3429" t="n">
        <v>0.4323941171498408</v>
      </c>
      <c r="H3429" t="n">
        <v>0.0133324708032945</v>
      </c>
      <c r="I3429" t="n">
        <v>0.4420788377478378</v>
      </c>
      <c r="J3429" t="n">
        <v>0.0057702578405482</v>
      </c>
      <c r="K3429" t="n">
        <v>0.7215075551913324</v>
      </c>
      <c r="L3429" t="b">
        <v>0</v>
      </c>
      <c r="M3429" t="b">
        <v>0</v>
      </c>
      <c r="N3429" t="inlineStr">
        <is>
          <t>alt</t>
        </is>
      </c>
      <c r="O3429" t="n">
        <v>100</v>
      </c>
      <c r="P3429" t="n">
        <v>0.02347</v>
      </c>
      <c r="Q3429" t="n">
        <v>-10</v>
      </c>
      <c r="R3429" t="n">
        <v>0.08649999999999999</v>
      </c>
      <c r="S3429">
        <f>IMAGE("https://mitra.stanford.edu/kundaje/oak/projects/neuro-variants/variant_position/credible/roussos_2024/variant_figures/roussos_2024.adolescence.Astrocyte/rs12153071_count_position.png",4,220,900)</f>
        <v/>
      </c>
      <c r="T3429">
        <f>IMAGE("https://mitra.stanford.edu/kundaje/oak/projects/neuro-variants/variant_position/credible/roussos_2024/variant_figures/roussos_2024.adolescence.Astrocyte/rs12153071_profile_position.png",4,220,900)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0.01668047744</v>
      </c>
      <c r="G3430" t="n">
        <v>0.6072338613973455</v>
      </c>
      <c r="H3430" t="n">
        <v>0.0165360942841355</v>
      </c>
      <c r="I3430" t="n">
        <v>0.2498058269642333</v>
      </c>
      <c r="J3430" t="n">
        <v>9.197994243835614e-05</v>
      </c>
      <c r="K3430" t="n">
        <v>0.9808424625044776</v>
      </c>
      <c r="L3430" t="b">
        <v>0</v>
      </c>
      <c r="M3430" t="b">
        <v>0</v>
      </c>
      <c r="N3430" t="inlineStr">
        <is>
          <t>alt</t>
        </is>
      </c>
      <c r="O3430" t="n">
        <v>-75</v>
      </c>
      <c r="P3430" t="n">
        <v>0.01377</v>
      </c>
      <c r="Q3430" t="n">
        <v>10</v>
      </c>
      <c r="R3430" t="n">
        <v>0.0083</v>
      </c>
      <c r="S3430">
        <f>IMAGE("https://mitra.stanford.edu/kundaje/oak/projects/neuro-variants/variant_position/credible/roussos_2024/variant_figures/roussos_2024.adolescence.Astrocyte/rs4958587_count_position.png",4,220,900)</f>
        <v/>
      </c>
      <c r="T3430">
        <f>IMAGE("https://mitra.stanford.edu/kundaje/oak/projects/neuro-variants/variant_position/credible/roussos_2024/variant_figures/roussos_2024.adolescence.Astrocyte/rs4958587_profile_position.png",4,220,900)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0.0055208325199999</v>
      </c>
      <c r="G3431" t="n">
        <v>0.5896866821406525</v>
      </c>
      <c r="H3431" t="n">
        <v>0.0300078169031537</v>
      </c>
      <c r="I3431" t="n">
        <v>0.0315341485081159</v>
      </c>
      <c r="J3431" t="n">
        <v>0.0076751327774975</v>
      </c>
      <c r="K3431" t="n">
        <v>0.7300767257156158</v>
      </c>
      <c r="L3431" t="b">
        <v>0</v>
      </c>
      <c r="M3431" t="b">
        <v>0</v>
      </c>
      <c r="N3431" t="inlineStr">
        <is>
          <t>alt</t>
        </is>
      </c>
      <c r="O3431" t="n">
        <v>85</v>
      </c>
      <c r="P3431" t="n">
        <v>0.009339999999999999</v>
      </c>
      <c r="Q3431" t="n">
        <v>95</v>
      </c>
      <c r="R3431" t="n">
        <v>0.1382</v>
      </c>
      <c r="S3431">
        <f>IMAGE("https://mitra.stanford.edu/kundaje/oak/projects/neuro-variants/variant_position/credible/roussos_2024/variant_figures/roussos_2024.adolescence.Astrocyte/rs72802890_count_position.png",4,220,900)</f>
        <v/>
      </c>
      <c r="T3431">
        <f>IMAGE("https://mitra.stanford.edu/kundaje/oak/projects/neuro-variants/variant_position/credible/roussos_2024/variant_figures/roussos_2024.adolescence.Astrocyte/rs72802890_profile_position.png",4,220,900)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0.0142289695999999</v>
      </c>
      <c r="G3432" t="n">
        <v>0.6381475696861927</v>
      </c>
      <c r="H3432" t="n">
        <v>0.0091172699435685</v>
      </c>
      <c r="I3432" t="n">
        <v>0.8432700490880335</v>
      </c>
      <c r="J3432" t="n">
        <v>0.0039981604011512</v>
      </c>
      <c r="K3432" t="n">
        <v>0.813461724778914</v>
      </c>
      <c r="L3432" t="b">
        <v>0</v>
      </c>
      <c r="M3432" t="b">
        <v>0</v>
      </c>
      <c r="N3432" t="inlineStr">
        <is>
          <t>alt</t>
        </is>
      </c>
      <c r="O3432" t="n">
        <v>-20</v>
      </c>
      <c r="P3432" t="n">
        <v>0.001892</v>
      </c>
      <c r="Q3432" t="n">
        <v>50</v>
      </c>
      <c r="R3432" t="n">
        <v>0.08704000000000001</v>
      </c>
      <c r="S3432">
        <f>IMAGE("https://mitra.stanford.edu/kundaje/oak/projects/neuro-variants/variant_position/credible/roussos_2024/variant_figures/roussos_2024.adolescence.Astrocyte/rs72802893_count_position.png",4,220,900)</f>
        <v/>
      </c>
      <c r="T3432">
        <f>IMAGE("https://mitra.stanford.edu/kundaje/oak/projects/neuro-variants/variant_position/credible/roussos_2024/variant_figures/roussos_2024.adolescence.Astrocyte/rs72802893_profile_position.png",4,220,900)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-0.0012622771999999</v>
      </c>
      <c r="G3433" t="n">
        <v>0.3618993987931369</v>
      </c>
      <c r="H3433" t="n">
        <v>0.008284149395991701</v>
      </c>
      <c r="I3433" t="n">
        <v>0.8550612133417727</v>
      </c>
      <c r="J3433" t="n">
        <v>0.0130752455271043</v>
      </c>
      <c r="K3433" t="n">
        <v>0.626616011131233</v>
      </c>
      <c r="L3433" t="b">
        <v>0</v>
      </c>
      <c r="M3433" t="b">
        <v>0</v>
      </c>
      <c r="N3433" t="inlineStr">
        <is>
          <t>ref</t>
        </is>
      </c>
      <c r="O3433" t="n">
        <v>75</v>
      </c>
      <c r="P3433" t="n">
        <v>0.007233</v>
      </c>
      <c r="Q3433" t="n">
        <v>40</v>
      </c>
      <c r="R3433" t="n">
        <v>0.0575</v>
      </c>
      <c r="S3433">
        <f>IMAGE("https://mitra.stanford.edu/kundaje/oak/projects/neuro-variants/variant_position/credible/roussos_2024/variant_figures/roussos_2024.adolescence.Astrocyte/rs9324737_count_position.png",4,220,900)</f>
        <v/>
      </c>
      <c r="T3433">
        <f>IMAGE("https://mitra.stanford.edu/kundaje/oak/projects/neuro-variants/variant_position/credible/roussos_2024/variant_figures/roussos_2024.adolescence.Astrocyte/rs9324737_profile_position.png",4,220,900)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-0.0028213502</v>
      </c>
      <c r="G3434" t="n">
        <v>0.6676602634859115</v>
      </c>
      <c r="H3434" t="n">
        <v>0.0219584267335347</v>
      </c>
      <c r="I3434" t="n">
        <v>0.0997585465508271</v>
      </c>
      <c r="J3434" t="n">
        <v>0.0014204966916891</v>
      </c>
      <c r="K3434" t="n">
        <v>0.8639640548077607</v>
      </c>
      <c r="L3434" t="b">
        <v>0</v>
      </c>
      <c r="M3434" t="b">
        <v>0</v>
      </c>
      <c r="N3434" t="inlineStr">
        <is>
          <t>ref</t>
        </is>
      </c>
      <c r="O3434" t="n">
        <v>100</v>
      </c>
      <c r="P3434" t="n">
        <v>0.02098</v>
      </c>
      <c r="Q3434" t="n">
        <v>-70</v>
      </c>
      <c r="R3434" t="n">
        <v>0.03455</v>
      </c>
      <c r="S3434">
        <f>IMAGE("https://mitra.stanford.edu/kundaje/oak/projects/neuro-variants/variant_position/credible/roussos_2024/variant_figures/roussos_2024.adolescence.Astrocyte/rs11167604_count_position.png",4,220,900)</f>
        <v/>
      </c>
      <c r="T3434">
        <f>IMAGE("https://mitra.stanford.edu/kundaje/oak/projects/neuro-variants/variant_position/credible/roussos_2024/variant_figures/roussos_2024.adolescence.Astrocyte/rs11167604_profile_position.png",4,220,900)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-0.058755164</v>
      </c>
      <c r="G3435" t="n">
        <v>0.2127849239618349</v>
      </c>
      <c r="H3435" t="n">
        <v>0.0254015284433366</v>
      </c>
      <c r="I3435" t="n">
        <v>0.0595367042045011</v>
      </c>
      <c r="J3435" t="n">
        <v>0.06890336171854131</v>
      </c>
      <c r="K3435" t="n">
        <v>0.3951097102207285</v>
      </c>
      <c r="L3435" t="b">
        <v>0</v>
      </c>
      <c r="M3435" t="b">
        <v>0</v>
      </c>
      <c r="N3435" t="inlineStr">
        <is>
          <t>ref</t>
        </is>
      </c>
      <c r="O3435" t="n">
        <v>-45</v>
      </c>
      <c r="P3435" t="n">
        <v>0.00299</v>
      </c>
      <c r="Q3435" t="n">
        <v>45</v>
      </c>
      <c r="R3435" t="n">
        <v>0.07477</v>
      </c>
      <c r="S3435">
        <f>IMAGE("https://mitra.stanford.edu/kundaje/oak/projects/neuro-variants/variant_position/credible/roussos_2024/variant_figures/roussos_2024.adolescence.Astrocyte/rs4463219_count_position.png",4,220,900)</f>
        <v/>
      </c>
      <c r="T3435">
        <f>IMAGE("https://mitra.stanford.edu/kundaje/oak/projects/neuro-variants/variant_position/credible/roussos_2024/variant_figures/roussos_2024.adolescence.Astrocyte/rs4463219_profile_position.png",4,220,900)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0.0318303124</v>
      </c>
      <c r="G3436" t="n">
        <v>0.3812040622289034</v>
      </c>
      <c r="H3436" t="n">
        <v>0.0094972635546537</v>
      </c>
      <c r="I3436" t="n">
        <v>0.7973951877937755</v>
      </c>
      <c r="J3436" t="n">
        <v>0.0213541821202859</v>
      </c>
      <c r="K3436" t="n">
        <v>0.5690395028795326</v>
      </c>
      <c r="L3436" t="b">
        <v>0</v>
      </c>
      <c r="M3436" t="b">
        <v>0</v>
      </c>
      <c r="N3436" t="inlineStr">
        <is>
          <t>alt</t>
        </is>
      </c>
      <c r="O3436" t="n">
        <v>100</v>
      </c>
      <c r="P3436" t="n">
        <v>0.00569</v>
      </c>
      <c r="Q3436" t="n">
        <v>15</v>
      </c>
      <c r="R3436" t="n">
        <v>0.1023</v>
      </c>
      <c r="S3436">
        <f>IMAGE("https://mitra.stanford.edu/kundaje/oak/projects/neuro-variants/variant_position/credible/roussos_2024/variant_figures/roussos_2024.adolescence.Astrocyte/rs72804778_count_position.png",4,220,900)</f>
        <v/>
      </c>
      <c r="T3436">
        <f>IMAGE("https://mitra.stanford.edu/kundaje/oak/projects/neuro-variants/variant_position/credible/roussos_2024/variant_figures/roussos_2024.adolescence.Astrocyte/rs72804778_profile_position.png",4,220,900)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-0.0093306327999999</v>
      </c>
      <c r="G3437" t="n">
        <v>0.4473387992041277</v>
      </c>
      <c r="H3437" t="n">
        <v>0.026515095382181</v>
      </c>
      <c r="I3437" t="n">
        <v>0.0504926444417554</v>
      </c>
      <c r="J3437" t="n">
        <v>0.0127874373201198</v>
      </c>
      <c r="K3437" t="n">
        <v>0.6492139494299348</v>
      </c>
      <c r="L3437" t="b">
        <v>0</v>
      </c>
      <c r="M3437" t="b">
        <v>0</v>
      </c>
      <c r="N3437" t="inlineStr">
        <is>
          <t>ref</t>
        </is>
      </c>
      <c r="O3437" t="n">
        <v>-100</v>
      </c>
      <c r="P3437" t="n">
        <v>0.002998</v>
      </c>
      <c r="Q3437" t="n">
        <v>-55</v>
      </c>
      <c r="R3437" t="n">
        <v>0.1467</v>
      </c>
      <c r="S3437">
        <f>IMAGE("https://mitra.stanford.edu/kundaje/oak/projects/neuro-variants/variant_position/credible/roussos_2024/variant_figures/roussos_2024.adolescence.Astrocyte/rs72804781_count_position.png",4,220,900)</f>
        <v/>
      </c>
      <c r="T3437">
        <f>IMAGE("https://mitra.stanford.edu/kundaje/oak/projects/neuro-variants/variant_position/credible/roussos_2024/variant_figures/roussos_2024.adolescence.Astrocyte/rs72804781_profile_position.png",4,220,900)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0.001037162792</v>
      </c>
      <c r="G3438" t="n">
        <v>0.8890010562764059</v>
      </c>
      <c r="H3438" t="n">
        <v>0.0088142452655256</v>
      </c>
      <c r="I3438" t="n">
        <v>0.8645887156618633</v>
      </c>
      <c r="J3438" t="n">
        <v>0.037060499065365</v>
      </c>
      <c r="K3438" t="n">
        <v>0.4866761699614286</v>
      </c>
      <c r="L3438" t="b">
        <v>0</v>
      </c>
      <c r="M3438" t="b">
        <v>0</v>
      </c>
      <c r="N3438" t="inlineStr">
        <is>
          <t>alt</t>
        </is>
      </c>
      <c r="O3438" t="n">
        <v>100</v>
      </c>
      <c r="P3438" t="n">
        <v>0.0459</v>
      </c>
      <c r="Q3438" t="n">
        <v>100</v>
      </c>
      <c r="R3438" t="n">
        <v>0.495</v>
      </c>
      <c r="S3438">
        <f>IMAGE("https://mitra.stanford.edu/kundaje/oak/projects/neuro-variants/variant_position/credible/roussos_2024/variant_figures/roussos_2024.adolescence.Astrocyte/rs116618941_count_position.png",4,220,900)</f>
        <v/>
      </c>
      <c r="T3438">
        <f>IMAGE("https://mitra.stanford.edu/kundaje/oak/projects/neuro-variants/variant_position/credible/roussos_2024/variant_figures/roussos_2024.adolescence.Astrocyte/rs116618941_profile_position.png",4,220,900)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-0.0114737218</v>
      </c>
      <c r="G3439" t="n">
        <v>0.3627199408796594</v>
      </c>
      <c r="H3439" t="n">
        <v>0.0134696622145605</v>
      </c>
      <c r="I3439" t="n">
        <v>0.4257814052891562</v>
      </c>
      <c r="J3439" t="n">
        <v>0.0858855294780879</v>
      </c>
      <c r="K3439" t="n">
        <v>0.3535427961067319</v>
      </c>
      <c r="L3439" t="b">
        <v>0</v>
      </c>
      <c r="M3439" t="b">
        <v>0</v>
      </c>
      <c r="N3439" t="inlineStr">
        <is>
          <t>ref</t>
        </is>
      </c>
      <c r="O3439" t="n">
        <v>5</v>
      </c>
      <c r="P3439" t="n">
        <v>7.63e-05</v>
      </c>
      <c r="Q3439" t="n">
        <v>-10</v>
      </c>
      <c r="R3439" t="n">
        <v>0.02539</v>
      </c>
      <c r="S3439">
        <f>IMAGE("https://mitra.stanford.edu/kundaje/oak/projects/neuro-variants/variant_position/credible/roussos_2024/variant_figures/roussos_2024.adolescence.Astrocyte/rs72804789_count_position.png",4,220,900)</f>
        <v/>
      </c>
      <c r="T3439">
        <f>IMAGE("https://mitra.stanford.edu/kundaje/oak/projects/neuro-variants/variant_position/credible/roussos_2024/variant_figures/roussos_2024.adolescence.Astrocyte/rs72804789_profile_position.png",4,220,900)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-0.0452647992</v>
      </c>
      <c r="G3440" t="n">
        <v>0.2803900648396678</v>
      </c>
      <c r="H3440" t="n">
        <v>0.0339907087919395</v>
      </c>
      <c r="I3440" t="n">
        <v>0.0201127477281074</v>
      </c>
      <c r="J3440" t="n">
        <v>0.3357520102068065</v>
      </c>
      <c r="K3440" t="n">
        <v>0.1151786540424094</v>
      </c>
      <c r="L3440" t="b">
        <v>0</v>
      </c>
      <c r="M3440" t="b">
        <v>0</v>
      </c>
      <c r="N3440" t="inlineStr">
        <is>
          <t>ref</t>
        </is>
      </c>
      <c r="O3440" t="n">
        <v>85</v>
      </c>
      <c r="P3440" t="n">
        <v>0.0293</v>
      </c>
      <c r="Q3440" t="n">
        <v>-30</v>
      </c>
      <c r="R3440" t="n">
        <v>0.1887</v>
      </c>
      <c r="S3440">
        <f>IMAGE("https://mitra.stanford.edu/kundaje/oak/projects/neuro-variants/variant_position/credible/roussos_2024/variant_figures/roussos_2024.adolescence.Astrocyte/rs184754715_count_position.png",4,220,900)</f>
        <v/>
      </c>
      <c r="T3440">
        <f>IMAGE("https://mitra.stanford.edu/kundaje/oak/projects/neuro-variants/variant_position/credible/roussos_2024/variant_figures/roussos_2024.adolescence.Astrocyte/rs184754715_profile_position.png",4,220,900)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0.0396683248</v>
      </c>
      <c r="G3441" t="n">
        <v>0.3285103620258221</v>
      </c>
      <c r="H3441" t="n">
        <v>0.0175180113175258</v>
      </c>
      <c r="I3441" t="n">
        <v>0.2066348852024447</v>
      </c>
      <c r="J3441" t="n">
        <v>0.0156944485654095</v>
      </c>
      <c r="K3441" t="n">
        <v>0.6035912669365535</v>
      </c>
      <c r="L3441" t="b">
        <v>0</v>
      </c>
      <c r="M3441" t="b">
        <v>0</v>
      </c>
      <c r="N3441" t="inlineStr">
        <is>
          <t>alt</t>
        </is>
      </c>
      <c r="O3441" t="n">
        <v>40</v>
      </c>
      <c r="P3441" t="n">
        <v>0.01335</v>
      </c>
      <c r="Q3441" t="n">
        <v>50</v>
      </c>
      <c r="R3441" t="n">
        <v>0.06836</v>
      </c>
      <c r="S3441">
        <f>IMAGE("https://mitra.stanford.edu/kundaje/oak/projects/neuro-variants/variant_position/credible/roussos_2024/variant_figures/roussos_2024.adolescence.Astrocyte/rs75040818_count_position.png",4,220,900)</f>
        <v/>
      </c>
      <c r="T3441">
        <f>IMAGE("https://mitra.stanford.edu/kundaje/oak/projects/neuro-variants/variant_position/credible/roussos_2024/variant_figures/roussos_2024.adolescence.Astrocyte/rs75040818_profile_position.png",4,220,900)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-0.304622786</v>
      </c>
      <c r="G3442" t="n">
        <v>0.0061820924110697</v>
      </c>
      <c r="H3442" t="n">
        <v>0.0243422446863297</v>
      </c>
      <c r="I3442" t="n">
        <v>0.06959567407803061</v>
      </c>
      <c r="J3442" t="n">
        <v>0.1196659051123045</v>
      </c>
      <c r="K3442" t="n">
        <v>0.2920460363320502</v>
      </c>
      <c r="L3442" t="b">
        <v>1</v>
      </c>
      <c r="M3442" t="b">
        <v>1</v>
      </c>
      <c r="N3442" t="inlineStr">
        <is>
          <t>ref</t>
        </is>
      </c>
      <c r="O3442" t="n">
        <v>-90</v>
      </c>
      <c r="P3442" t="n">
        <v>0.0155</v>
      </c>
      <c r="Q3442" t="n">
        <v>65</v>
      </c>
      <c r="R3442" t="n">
        <v>0.05762</v>
      </c>
      <c r="S3442">
        <f>IMAGE("https://mitra.stanford.edu/kundaje/oak/projects/neuro-variants/variant_position/credible/roussos_2024/variant_figures/roussos_2024.adolescence.Astrocyte/rs73802032_count_position.png",4,220,900)</f>
        <v/>
      </c>
      <c r="T3442">
        <f>IMAGE("https://mitra.stanford.edu/kundaje/oak/projects/neuro-variants/variant_position/credible/roussos_2024/variant_figures/roussos_2024.adolescence.Astrocyte/rs73802032_profile_position.png",4,220,900)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0.0261730142</v>
      </c>
      <c r="G3443" t="n">
        <v>0.4229694453682493</v>
      </c>
      <c r="H3443" t="n">
        <v>0.0266767538599232</v>
      </c>
      <c r="I3443" t="n">
        <v>0.0494969120662431</v>
      </c>
      <c r="J3443" t="n">
        <v>0.005061863929027</v>
      </c>
      <c r="K3443" t="n">
        <v>0.7463146320302521</v>
      </c>
      <c r="L3443" t="b">
        <v>0</v>
      </c>
      <c r="M3443" t="b">
        <v>0</v>
      </c>
      <c r="N3443" t="inlineStr">
        <is>
          <t>alt</t>
        </is>
      </c>
      <c r="O3443" t="n">
        <v>5</v>
      </c>
      <c r="P3443" t="n">
        <v>0.005478</v>
      </c>
      <c r="Q3443" t="n">
        <v>100</v>
      </c>
      <c r="R3443" t="n">
        <v>0.0643</v>
      </c>
      <c r="S3443">
        <f>IMAGE("https://mitra.stanford.edu/kundaje/oak/projects/neuro-variants/variant_position/credible/roussos_2024/variant_figures/roussos_2024.adolescence.Astrocyte/rs6868545_count_position.png",4,220,900)</f>
        <v/>
      </c>
      <c r="T3443">
        <f>IMAGE("https://mitra.stanford.edu/kundaje/oak/projects/neuro-variants/variant_position/credible/roussos_2024/variant_figures/roussos_2024.adolescence.Astrocyte/rs6868545_profile_position.png",4,220,900)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-0.03385474768</v>
      </c>
      <c r="G3444" t="n">
        <v>0.3524636743091044</v>
      </c>
      <c r="H3444" t="n">
        <v>0.0084438796941609</v>
      </c>
      <c r="I3444" t="n">
        <v>0.8894221300100483</v>
      </c>
      <c r="J3444" t="n">
        <v>0.0103692549624662</v>
      </c>
      <c r="K3444" t="n">
        <v>0.6706774226254867</v>
      </c>
      <c r="L3444" t="b">
        <v>0</v>
      </c>
      <c r="M3444" t="b">
        <v>0</v>
      </c>
      <c r="N3444" t="inlineStr">
        <is>
          <t>ref</t>
        </is>
      </c>
      <c r="O3444" t="n">
        <v>-10</v>
      </c>
      <c r="P3444" t="n">
        <v>0.000717</v>
      </c>
      <c r="Q3444" t="n">
        <v>100</v>
      </c>
      <c r="R3444" t="n">
        <v>0.05408</v>
      </c>
      <c r="S3444">
        <f>IMAGE("https://mitra.stanford.edu/kundaje/oak/projects/neuro-variants/variant_position/credible/roussos_2024/variant_figures/roussos_2024.adolescence.Astrocyte/rs2118792_count_position.png",4,220,900)</f>
        <v/>
      </c>
      <c r="T3444">
        <f>IMAGE("https://mitra.stanford.edu/kundaje/oak/projects/neuro-variants/variant_position/credible/roussos_2024/variant_figures/roussos_2024.adolescence.Astrocyte/rs2118792_profile_position.png",4,220,900)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0.004551121088</v>
      </c>
      <c r="G3445" t="n">
        <v>0.7525542032908401</v>
      </c>
      <c r="H3445" t="n">
        <v>0.0111916603980485</v>
      </c>
      <c r="I3445" t="n">
        <v>0.6284114233751199</v>
      </c>
      <c r="J3445" t="n">
        <v>0.0448706346616027</v>
      </c>
      <c r="K3445" t="n">
        <v>0.4598891911971396</v>
      </c>
      <c r="L3445" t="b">
        <v>0</v>
      </c>
      <c r="M3445" t="b">
        <v>0</v>
      </c>
      <c r="N3445" t="inlineStr">
        <is>
          <t>alt</t>
        </is>
      </c>
      <c r="O3445" t="n">
        <v>40</v>
      </c>
      <c r="P3445" t="n">
        <v>0.002674</v>
      </c>
      <c r="Q3445" t="n">
        <v>95</v>
      </c>
      <c r="R3445" t="n">
        <v>0.0709</v>
      </c>
      <c r="S3445">
        <f>IMAGE("https://mitra.stanford.edu/kundaje/oak/projects/neuro-variants/variant_position/credible/roussos_2024/variant_figures/roussos_2024.adolescence.Astrocyte/rs2962809_count_position.png",4,220,900)</f>
        <v/>
      </c>
      <c r="T3445">
        <f>IMAGE("https://mitra.stanford.edu/kundaje/oak/projects/neuro-variants/variant_position/credible/roussos_2024/variant_figures/roussos_2024.adolescence.Astrocyte/rs2962809_profile_position.png",4,220,900)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-0.0130406560399999</v>
      </c>
      <c r="G3446" t="n">
        <v>0.6829552120754275</v>
      </c>
      <c r="H3446" t="n">
        <v>0.0072784056866082</v>
      </c>
      <c r="I3446" t="n">
        <v>0.9628833112323693</v>
      </c>
      <c r="J3446" t="n">
        <v>0.0001505800670563</v>
      </c>
      <c r="K3446" t="n">
        <v>0.9770582108373174</v>
      </c>
      <c r="L3446" t="b">
        <v>0</v>
      </c>
      <c r="M3446" t="b">
        <v>0</v>
      </c>
      <c r="N3446" t="inlineStr">
        <is>
          <t>ref</t>
        </is>
      </c>
      <c r="O3446" t="n">
        <v>-90</v>
      </c>
      <c r="P3446" t="n">
        <v>0.001877</v>
      </c>
      <c r="Q3446" t="n">
        <v>100</v>
      </c>
      <c r="R3446" t="n">
        <v>0.1284</v>
      </c>
      <c r="S3446">
        <f>IMAGE("https://mitra.stanford.edu/kundaje/oak/projects/neuro-variants/variant_position/credible/roussos_2024/variant_figures/roussos_2024.adolescence.Astrocyte/rs2973157_count_position.png",4,220,900)</f>
        <v/>
      </c>
      <c r="T3446">
        <f>IMAGE("https://mitra.stanford.edu/kundaje/oak/projects/neuro-variants/variant_position/credible/roussos_2024/variant_figures/roussos_2024.adolescence.Astrocyte/rs2973157_profile_position.png",4,220,900)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0.161039896</v>
      </c>
      <c r="G3447" t="n">
        <v>0.0385406114113338</v>
      </c>
      <c r="H3447" t="n">
        <v>0.0378028094905153</v>
      </c>
      <c r="I3447" t="n">
        <v>0.015398603574255</v>
      </c>
      <c r="J3447" t="n">
        <v>0.0338041123935554</v>
      </c>
      <c r="K3447" t="n">
        <v>0.4992571705895642</v>
      </c>
      <c r="L3447" t="b">
        <v>1</v>
      </c>
      <c r="M3447" t="b">
        <v>0</v>
      </c>
      <c r="N3447" t="inlineStr">
        <is>
          <t>alt</t>
        </is>
      </c>
      <c r="O3447" t="n">
        <v>100</v>
      </c>
      <c r="P3447" t="n">
        <v>0.008965000000000001</v>
      </c>
      <c r="Q3447" t="n">
        <v>-35</v>
      </c>
      <c r="R3447" t="n">
        <v>0.0376</v>
      </c>
      <c r="S3447">
        <f>IMAGE("https://mitra.stanford.edu/kundaje/oak/projects/neuro-variants/variant_position/credible/roussos_2024/variant_figures/roussos_2024.adolescence.Astrocyte/rs2910030_count_position.png",4,220,900)</f>
        <v/>
      </c>
      <c r="T3447">
        <f>IMAGE("https://mitra.stanford.edu/kundaje/oak/projects/neuro-variants/variant_position/credible/roussos_2024/variant_figures/roussos_2024.adolescence.Astrocyte/rs2910030_profile_position.png",4,220,900)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-0.108074948</v>
      </c>
      <c r="G3448" t="n">
        <v>0.0666213787355964</v>
      </c>
      <c r="H3448" t="n">
        <v>0.0125904306977685</v>
      </c>
      <c r="I3448" t="n">
        <v>0.49761540876443</v>
      </c>
      <c r="J3448" t="n">
        <v>0.001203156988992</v>
      </c>
      <c r="K3448" t="n">
        <v>0.857643705354756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0.01424</v>
      </c>
      <c r="Q3448" t="n">
        <v>85</v>
      </c>
      <c r="R3448" t="n">
        <v>0.05096</v>
      </c>
      <c r="S3448">
        <f>IMAGE("https://mitra.stanford.edu/kundaje/oak/projects/neuro-variants/variant_position/credible/roussos_2024/variant_figures/roussos_2024.adolescence.Astrocyte/rs2910032_count_position.png",4,220,900)</f>
        <v/>
      </c>
      <c r="T3448">
        <f>IMAGE("https://mitra.stanford.edu/kundaje/oak/projects/neuro-variants/variant_position/credible/roussos_2024/variant_figures/roussos_2024.adolescence.Astrocyte/rs2910032_profile_position.png",4,220,900)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0.05668719848</v>
      </c>
      <c r="G3449" t="n">
        <v>0.2531484071899812</v>
      </c>
      <c r="H3449" t="n">
        <v>0.0142880237881807</v>
      </c>
      <c r="I3449" t="n">
        <v>0.3774799281507149</v>
      </c>
      <c r="J3449" t="n">
        <v>0.0020613891938402</v>
      </c>
      <c r="K3449" t="n">
        <v>0.8249823229676851</v>
      </c>
      <c r="L3449" t="b">
        <v>0</v>
      </c>
      <c r="M3449" t="b">
        <v>0</v>
      </c>
      <c r="N3449" t="inlineStr">
        <is>
          <t>alt</t>
        </is>
      </c>
      <c r="O3449" t="n">
        <v>-80</v>
      </c>
      <c r="P3449" t="n">
        <v>0.003197</v>
      </c>
      <c r="Q3449" t="n">
        <v>5</v>
      </c>
      <c r="R3449" t="n">
        <v>0.002335</v>
      </c>
      <c r="S3449">
        <f>IMAGE("https://mitra.stanford.edu/kundaje/oak/projects/neuro-variants/variant_position/credible/roussos_2024/variant_figures/roussos_2024.adolescence.Astrocyte/rs2973138_count_position.png",4,220,900)</f>
        <v/>
      </c>
      <c r="T3449">
        <f>IMAGE("https://mitra.stanford.edu/kundaje/oak/projects/neuro-variants/variant_position/credible/roussos_2024/variant_figures/roussos_2024.adolescence.Astrocyte/rs2973138_profile_position.png",4,220,900)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0.0598137102</v>
      </c>
      <c r="G3450" t="n">
        <v>0.1763338477561128</v>
      </c>
      <c r="H3450" t="n">
        <v>0.0180596496911477</v>
      </c>
      <c r="I3450" t="n">
        <v>0.1876962858344067</v>
      </c>
      <c r="J3450" t="n">
        <v>0.0036510102958193</v>
      </c>
      <c r="K3450" t="n">
        <v>0.7651062564296519</v>
      </c>
      <c r="L3450" t="b">
        <v>0</v>
      </c>
      <c r="M3450" t="b">
        <v>0</v>
      </c>
      <c r="N3450" t="inlineStr">
        <is>
          <t>alt</t>
        </is>
      </c>
      <c r="O3450" t="n">
        <v>10</v>
      </c>
      <c r="P3450" t="n">
        <v>0.0003557</v>
      </c>
      <c r="Q3450" t="n">
        <v>-5</v>
      </c>
      <c r="R3450" t="n">
        <v>0.001312</v>
      </c>
      <c r="S3450">
        <f>IMAGE("https://mitra.stanford.edu/kundaje/oak/projects/neuro-variants/variant_position/credible/roussos_2024/variant_figures/roussos_2024.adolescence.Astrocyte/rs2962826_count_position.png",4,220,900)</f>
        <v/>
      </c>
      <c r="T3450">
        <f>IMAGE("https://mitra.stanford.edu/kundaje/oak/projects/neuro-variants/variant_position/credible/roussos_2024/variant_figures/roussos_2024.adolescence.Astrocyte/rs2962826_profile_position.png",4,220,900)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0.021934367</v>
      </c>
      <c r="G3451" t="n">
        <v>0.534500062987164</v>
      </c>
      <c r="H3451" t="n">
        <v>0.0405673091369556</v>
      </c>
      <c r="I3451" t="n">
        <v>0.0091131785787199</v>
      </c>
      <c r="J3451" t="n">
        <v>0.0003909147553629</v>
      </c>
      <c r="K3451" t="n">
        <v>0.9462080881181636</v>
      </c>
      <c r="L3451" t="b">
        <v>0</v>
      </c>
      <c r="M3451" t="b">
        <v>0</v>
      </c>
      <c r="N3451" t="inlineStr">
        <is>
          <t>alt</t>
        </is>
      </c>
      <c r="O3451" t="n">
        <v>75</v>
      </c>
      <c r="P3451" t="n">
        <v>0.006027</v>
      </c>
      <c r="Q3451" t="n">
        <v>-90</v>
      </c>
      <c r="R3451" t="n">
        <v>0.1196</v>
      </c>
      <c r="S3451">
        <f>IMAGE("https://mitra.stanford.edu/kundaje/oak/projects/neuro-variants/variant_position/credible/roussos_2024/variant_figures/roussos_2024.adolescence.Astrocyte/rs55827458_count_position.png",4,220,900)</f>
        <v/>
      </c>
      <c r="T3451">
        <f>IMAGE("https://mitra.stanford.edu/kundaje/oak/projects/neuro-variants/variant_position/credible/roussos_2024/variant_figures/roussos_2024.adolescence.Astrocyte/rs55827458_profile_position.png",4,220,900)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-0.00859022626</v>
      </c>
      <c r="G3452" t="n">
        <v>0.7167284736405466</v>
      </c>
      <c r="H3452" t="n">
        <v>0.0201719696324534</v>
      </c>
      <c r="I3452" t="n">
        <v>0.1341259981154207</v>
      </c>
      <c r="J3452" t="n">
        <v>0.0006750140937008</v>
      </c>
      <c r="K3452" t="n">
        <v>0.9036402873264494</v>
      </c>
      <c r="L3452" t="b">
        <v>0</v>
      </c>
      <c r="M3452" t="b">
        <v>0</v>
      </c>
      <c r="N3452" t="inlineStr">
        <is>
          <t>ref</t>
        </is>
      </c>
      <c r="O3452" t="n">
        <v>45</v>
      </c>
      <c r="P3452" t="n">
        <v>0.009889999999999999</v>
      </c>
      <c r="Q3452" t="n">
        <v>-10</v>
      </c>
      <c r="R3452" t="n">
        <v>0.01855</v>
      </c>
      <c r="S3452">
        <f>IMAGE("https://mitra.stanford.edu/kundaje/oak/projects/neuro-variants/variant_position/credible/roussos_2024/variant_figures/roussos_2024.adolescence.Astrocyte/rs7717923_count_position.png",4,220,900)</f>
        <v/>
      </c>
      <c r="T3452">
        <f>IMAGE("https://mitra.stanford.edu/kundaje/oak/projects/neuro-variants/variant_position/credible/roussos_2024/variant_figures/roussos_2024.adolescence.Astrocyte/rs7717923_profile_position.png",4,220,900)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0.0145122081999999</v>
      </c>
      <c r="G3453" t="n">
        <v>0.6377546614542074</v>
      </c>
      <c r="H3453" t="n">
        <v>0.0134886336697049</v>
      </c>
      <c r="I3453" t="n">
        <v>0.4269918336619477</v>
      </c>
      <c r="J3453" t="n">
        <v>0.0076217250689849</v>
      </c>
      <c r="K3453" t="n">
        <v>0.7024702766652592</v>
      </c>
      <c r="L3453" t="b">
        <v>0</v>
      </c>
      <c r="M3453" t="b">
        <v>0</v>
      </c>
      <c r="N3453" t="inlineStr">
        <is>
          <t>alt</t>
        </is>
      </c>
      <c r="O3453" t="n">
        <v>-40</v>
      </c>
      <c r="P3453" t="n">
        <v>0.007378</v>
      </c>
      <c r="Q3453" t="n">
        <v>-45</v>
      </c>
      <c r="R3453" t="n">
        <v>0.05414</v>
      </c>
      <c r="S3453">
        <f>IMAGE("https://mitra.stanford.edu/kundaje/oak/projects/neuro-variants/variant_position/credible/roussos_2024/variant_figures/roussos_2024.adolescence.Astrocyte/rs1870861_count_position.png",4,220,900)</f>
        <v/>
      </c>
      <c r="T3453">
        <f>IMAGE("https://mitra.stanford.edu/kundaje/oak/projects/neuro-variants/variant_position/credible/roussos_2024/variant_figures/roussos_2024.adolescence.Astrocyte/rs1870861_profile_position.png",4,220,900)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-0.0609825835999999</v>
      </c>
      <c r="G3454" t="n">
        <v>0.1810661449737052</v>
      </c>
      <c r="H3454" t="n">
        <v>0.0129915621856345</v>
      </c>
      <c r="I3454" t="n">
        <v>0.4649743387690579</v>
      </c>
      <c r="J3454" t="n">
        <v>0.0076284010325489</v>
      </c>
      <c r="K3454" t="n">
        <v>0.6952502593430442</v>
      </c>
      <c r="L3454" t="b">
        <v>0</v>
      </c>
      <c r="M3454" t="b">
        <v>0</v>
      </c>
      <c r="N3454" t="inlineStr">
        <is>
          <t>ref</t>
        </is>
      </c>
      <c r="O3454" t="n">
        <v>-80</v>
      </c>
      <c r="P3454" t="n">
        <v>0.003723</v>
      </c>
      <c r="Q3454" t="n">
        <v>-15</v>
      </c>
      <c r="R3454" t="n">
        <v>0.0537</v>
      </c>
      <c r="S3454">
        <f>IMAGE("https://mitra.stanford.edu/kundaje/oak/projects/neuro-variants/variant_position/credible/roussos_2024/variant_figures/roussos_2024.adolescence.Astrocyte/rs1462120_count_position.png",4,220,900)</f>
        <v/>
      </c>
      <c r="T3454">
        <f>IMAGE("https://mitra.stanford.edu/kundaje/oak/projects/neuro-variants/variant_position/credible/roussos_2024/variant_figures/roussos_2024.adolescence.Astrocyte/rs1462120_profile_position.png",4,220,900)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-0.0010311094</v>
      </c>
      <c r="G3455" t="n">
        <v>0.5542026602096539</v>
      </c>
      <c r="H3455" t="n">
        <v>0.0154847114769955</v>
      </c>
      <c r="I3455" t="n">
        <v>0.300985291602541</v>
      </c>
      <c r="J3455" t="n">
        <v>0.0001312939500934</v>
      </c>
      <c r="K3455" t="n">
        <v>0.9757537003741948</v>
      </c>
      <c r="L3455" t="b">
        <v>0</v>
      </c>
      <c r="M3455" t="b">
        <v>0</v>
      </c>
      <c r="N3455" t="inlineStr">
        <is>
          <t>ref</t>
        </is>
      </c>
      <c r="O3455" t="n">
        <v>100</v>
      </c>
      <c r="P3455" t="n">
        <v>0.02171</v>
      </c>
      <c r="Q3455" t="n">
        <v>-100</v>
      </c>
      <c r="R3455" t="n">
        <v>0.198</v>
      </c>
      <c r="S3455">
        <f>IMAGE("https://mitra.stanford.edu/kundaje/oak/projects/neuro-variants/variant_position/credible/roussos_2024/variant_figures/roussos_2024.adolescence.Astrocyte/rs3112532_count_position.png",4,220,900)</f>
        <v/>
      </c>
      <c r="T3455">
        <f>IMAGE("https://mitra.stanford.edu/kundaje/oak/projects/neuro-variants/variant_position/credible/roussos_2024/variant_figures/roussos_2024.adolescence.Astrocyte/rs3112532_profile_position.png",4,220,900)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-0.06749996179999999</v>
      </c>
      <c r="G3456" t="n">
        <v>0.1553654569738405</v>
      </c>
      <c r="H3456" t="n">
        <v>0.0135091536889885</v>
      </c>
      <c r="I3456" t="n">
        <v>0.4180652108673091</v>
      </c>
      <c r="J3456" t="n">
        <v>0.0068406373319881</v>
      </c>
      <c r="K3456" t="n">
        <v>0.7508110765411879</v>
      </c>
      <c r="L3456" t="b">
        <v>0</v>
      </c>
      <c r="M3456" t="b">
        <v>0</v>
      </c>
      <c r="N3456" t="inlineStr">
        <is>
          <t>ref</t>
        </is>
      </c>
      <c r="O3456" t="n">
        <v>-60</v>
      </c>
      <c r="P3456" t="n">
        <v>0.0046</v>
      </c>
      <c r="Q3456" t="n">
        <v>55</v>
      </c>
      <c r="R3456" t="n">
        <v>0.1448</v>
      </c>
      <c r="S3456">
        <f>IMAGE("https://mitra.stanford.edu/kundaje/oak/projects/neuro-variants/variant_position/credible/roussos_2024/variant_figures/roussos_2024.adolescence.Astrocyte/rs296175_count_position.png",4,220,900)</f>
        <v/>
      </c>
      <c r="T3456">
        <f>IMAGE("https://mitra.stanford.edu/kundaje/oak/projects/neuro-variants/variant_position/credible/roussos_2024/variant_figures/roussos_2024.adolescence.Astrocyte/rs296175_profile_position.png",4,220,900)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0.0289028088</v>
      </c>
      <c r="G3457" t="n">
        <v>0.3337051732010622</v>
      </c>
      <c r="H3457" t="n">
        <v>0.0143308360061412</v>
      </c>
      <c r="I3457" t="n">
        <v>0.3671525377651344</v>
      </c>
      <c r="J3457" t="n">
        <v>0.0544966323472687</v>
      </c>
      <c r="K3457" t="n">
        <v>0.4206207457324491</v>
      </c>
      <c r="L3457" t="b">
        <v>0</v>
      </c>
      <c r="M3457" t="b">
        <v>0</v>
      </c>
      <c r="N3457" t="inlineStr">
        <is>
          <t>alt</t>
        </is>
      </c>
      <c r="O3457" t="n">
        <v>35</v>
      </c>
      <c r="P3457" t="n">
        <v>0.00902</v>
      </c>
      <c r="Q3457" t="n">
        <v>10</v>
      </c>
      <c r="R3457" t="n">
        <v>0.001465</v>
      </c>
      <c r="S3457">
        <f>IMAGE("https://mitra.stanford.edu/kundaje/oak/projects/neuro-variants/variant_position/credible/roussos_2024/variant_figures/roussos_2024.adolescence.Astrocyte/rs2546328_count_position.png",4,220,900)</f>
        <v/>
      </c>
      <c r="T3457">
        <f>IMAGE("https://mitra.stanford.edu/kundaje/oak/projects/neuro-variants/variant_position/credible/roussos_2024/variant_figures/roussos_2024.adolescence.Astrocyte/rs2546328_profile_position.png",4,220,900)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0.14654446</v>
      </c>
      <c r="G3458" t="n">
        <v>0.0406150489974589</v>
      </c>
      <c r="H3458" t="n">
        <v>0.0166398142777215</v>
      </c>
      <c r="I3458" t="n">
        <v>0.2523650629862479</v>
      </c>
      <c r="J3458" t="n">
        <v>0.0383474764857727</v>
      </c>
      <c r="K3458" t="n">
        <v>0.4945283233303291</v>
      </c>
      <c r="L3458" t="b">
        <v>0</v>
      </c>
      <c r="M3458" t="b">
        <v>0</v>
      </c>
      <c r="N3458" t="inlineStr">
        <is>
          <t>alt</t>
        </is>
      </c>
      <c r="O3458" t="n">
        <v>-90</v>
      </c>
      <c r="P3458" t="n">
        <v>0.004913</v>
      </c>
      <c r="Q3458" t="n">
        <v>-90</v>
      </c>
      <c r="R3458" t="n">
        <v>0.1555</v>
      </c>
      <c r="S3458">
        <f>IMAGE("https://mitra.stanford.edu/kundaje/oak/projects/neuro-variants/variant_position/credible/roussos_2024/variant_figures/roussos_2024.adolescence.Astrocyte/rs2349576_count_position.png",4,220,900)</f>
        <v/>
      </c>
      <c r="T3458">
        <f>IMAGE("https://mitra.stanford.edu/kundaje/oak/projects/neuro-variants/variant_position/credible/roussos_2024/variant_figures/roussos_2024.adolescence.Astrocyte/rs2349576_profile_position.png",4,220,900)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0.07889451031399999</v>
      </c>
      <c r="G3459" t="n">
        <v>0.1392015906871329</v>
      </c>
      <c r="H3459" t="n">
        <v>0.0199377854926693</v>
      </c>
      <c r="I3459" t="n">
        <v>0.1526062167439117</v>
      </c>
      <c r="J3459" t="n">
        <v>0.0269657003827551</v>
      </c>
      <c r="K3459" t="n">
        <v>0.5412796000969291</v>
      </c>
      <c r="L3459" t="b">
        <v>0</v>
      </c>
      <c r="M3459" t="b">
        <v>0</v>
      </c>
      <c r="N3459" t="inlineStr">
        <is>
          <t>alt</t>
        </is>
      </c>
      <c r="O3459" t="n">
        <v>-75</v>
      </c>
      <c r="P3459" t="n">
        <v>0.006683</v>
      </c>
      <c r="Q3459" t="n">
        <v>55</v>
      </c>
      <c r="R3459" t="n">
        <v>0.09619999999999999</v>
      </c>
      <c r="S3459">
        <f>IMAGE("https://mitra.stanford.edu/kundaje/oak/projects/neuro-variants/variant_position/credible/roussos_2024/variant_figures/roussos_2024.adolescence.Astrocyte/rs2926288_count_position.png",4,220,900)</f>
        <v/>
      </c>
      <c r="T3459">
        <f>IMAGE("https://mitra.stanford.edu/kundaje/oak/projects/neuro-variants/variant_position/credible/roussos_2024/variant_figures/roussos_2024.adolescence.Astrocyte/rs2926288_profile_position.png",4,220,900)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-0.0631281186</v>
      </c>
      <c r="G3460" t="n">
        <v>0.1676333500836342</v>
      </c>
      <c r="H3460" t="n">
        <v>0.0114923689511071</v>
      </c>
      <c r="I3460" t="n">
        <v>0.5991610328783513</v>
      </c>
      <c r="J3460" t="n">
        <v>0.0011593923389608</v>
      </c>
      <c r="K3460" t="n">
        <v>0.8608472750027641</v>
      </c>
      <c r="L3460" t="b">
        <v>0</v>
      </c>
      <c r="M3460" t="b">
        <v>0</v>
      </c>
      <c r="N3460" t="inlineStr">
        <is>
          <t>ref</t>
        </is>
      </c>
      <c r="O3460" t="n">
        <v>-85</v>
      </c>
      <c r="P3460" t="n">
        <v>0.003304</v>
      </c>
      <c r="Q3460" t="n">
        <v>20</v>
      </c>
      <c r="R3460" t="n">
        <v>0.01227</v>
      </c>
      <c r="S3460">
        <f>IMAGE("https://mitra.stanford.edu/kundaje/oak/projects/neuro-variants/variant_position/credible/roussos_2024/variant_figures/roussos_2024.adolescence.Astrocyte/rs2964817_count_position.png",4,220,900)</f>
        <v/>
      </c>
      <c r="T3460">
        <f>IMAGE("https://mitra.stanford.edu/kundaje/oak/projects/neuro-variants/variant_position/credible/roussos_2024/variant_figures/roussos_2024.adolescence.Astrocyte/rs2964817_profile_position.png",4,220,900)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0.06295071419999999</v>
      </c>
      <c r="G3461" t="n">
        <v>0.0887370808833193</v>
      </c>
      <c r="H3461" t="n">
        <v>0.0129978709620349</v>
      </c>
      <c r="I3461" t="n">
        <v>0.4658827854766721</v>
      </c>
      <c r="J3461" t="n">
        <v>0.2464936355814022</v>
      </c>
      <c r="K3461" t="n">
        <v>0.1675693930983273</v>
      </c>
      <c r="L3461" t="b">
        <v>0</v>
      </c>
      <c r="M3461" t="b">
        <v>0</v>
      </c>
      <c r="N3461" t="inlineStr">
        <is>
          <t>alt</t>
        </is>
      </c>
      <c r="O3461" t="n">
        <v>100</v>
      </c>
      <c r="P3461" t="n">
        <v>0.0167</v>
      </c>
      <c r="Q3461" t="n">
        <v>-30</v>
      </c>
      <c r="R3461" t="n">
        <v>0.0825</v>
      </c>
      <c r="S3461">
        <f>IMAGE("https://mitra.stanford.edu/kundaje/oak/projects/neuro-variants/variant_position/credible/roussos_2024/variant_figures/roussos_2024.adolescence.Astrocyte/rs2199123_count_position.png",4,220,900)</f>
        <v/>
      </c>
      <c r="T3461">
        <f>IMAGE("https://mitra.stanford.edu/kundaje/oak/projects/neuro-variants/variant_position/credible/roussos_2024/variant_figures/roussos_2024.adolescence.Astrocyte/rs2199123_profile_position.png",4,220,900)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-0.2303772679999999</v>
      </c>
      <c r="G3462" t="n">
        <v>0.0124975678455118</v>
      </c>
      <c r="H3462" t="n">
        <v>0.039822110495176</v>
      </c>
      <c r="I3462" t="n">
        <v>0.0104247954881238</v>
      </c>
      <c r="J3462" t="n">
        <v>0.0214951191288608</v>
      </c>
      <c r="K3462" t="n">
        <v>0.5682135763417957</v>
      </c>
      <c r="L3462" t="b">
        <v>1</v>
      </c>
      <c r="M3462" t="b">
        <v>0</v>
      </c>
      <c r="N3462" t="inlineStr">
        <is>
          <t>ref</t>
        </is>
      </c>
      <c r="O3462" t="n">
        <v>-100</v>
      </c>
      <c r="P3462" t="n">
        <v>0.007454</v>
      </c>
      <c r="Q3462" t="n">
        <v>-85</v>
      </c>
      <c r="R3462" t="n">
        <v>0.2177</v>
      </c>
      <c r="S3462">
        <f>IMAGE("https://mitra.stanford.edu/kundaje/oak/projects/neuro-variants/variant_position/credible/roussos_2024/variant_figures/roussos_2024.adolescence.Astrocyte/rs17504622_count_position.png",4,220,900)</f>
        <v/>
      </c>
      <c r="T3462">
        <f>IMAGE("https://mitra.stanford.edu/kundaje/oak/projects/neuro-variants/variant_position/credible/roussos_2024/variant_figures/roussos_2024.adolescence.Astrocyte/rs17504622_profile_position.png",4,220,900)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0.1170020469999999</v>
      </c>
      <c r="G3463" t="n">
        <v>0.0658469970270763</v>
      </c>
      <c r="H3463" t="n">
        <v>0.0180628780830759</v>
      </c>
      <c r="I3463" t="n">
        <v>0.1917936116270787</v>
      </c>
      <c r="J3463" t="n">
        <v>0.0470351304038215</v>
      </c>
      <c r="K3463" t="n">
        <v>0.4579547874843945</v>
      </c>
      <c r="L3463" t="b">
        <v>0</v>
      </c>
      <c r="M3463" t="b">
        <v>0</v>
      </c>
      <c r="N3463" t="inlineStr">
        <is>
          <t>alt</t>
        </is>
      </c>
      <c r="O3463" t="n">
        <v>-40</v>
      </c>
      <c r="P3463" t="n">
        <v>0.010155</v>
      </c>
      <c r="Q3463" t="n">
        <v>-65</v>
      </c>
      <c r="R3463" t="n">
        <v>0.267</v>
      </c>
      <c r="S3463">
        <f>IMAGE("https://mitra.stanford.edu/kundaje/oak/projects/neuro-variants/variant_position/credible/roussos_2024/variant_figures/roussos_2024.adolescence.Astrocyte/rs308267_count_position.png",4,220,900)</f>
        <v/>
      </c>
      <c r="T3463">
        <f>IMAGE("https://mitra.stanford.edu/kundaje/oak/projects/neuro-variants/variant_position/credible/roussos_2024/variant_figures/roussos_2024.adolescence.Astrocyte/rs308267_profile_position.png",4,220,900)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-0.0051654373</v>
      </c>
      <c r="G3464" t="n">
        <v>0.6414998851040447</v>
      </c>
      <c r="H3464" t="n">
        <v>0.0194495968392001</v>
      </c>
      <c r="I3464" t="n">
        <v>0.1522933834016873</v>
      </c>
      <c r="J3464" t="n">
        <v>0.0009183158769248</v>
      </c>
      <c r="K3464" t="n">
        <v>0.8738635102218153</v>
      </c>
      <c r="L3464" t="b">
        <v>0</v>
      </c>
      <c r="M3464" t="b">
        <v>0</v>
      </c>
      <c r="N3464" t="inlineStr">
        <is>
          <t>ref</t>
        </is>
      </c>
      <c r="O3464" t="n">
        <v>60</v>
      </c>
      <c r="P3464" t="n">
        <v>0.004272</v>
      </c>
      <c r="Q3464" t="n">
        <v>-15</v>
      </c>
      <c r="R3464" t="n">
        <v>0.01489</v>
      </c>
      <c r="S3464">
        <f>IMAGE("https://mitra.stanford.edu/kundaje/oak/projects/neuro-variants/variant_position/credible/roussos_2024/variant_figures/roussos_2024.adolescence.Astrocyte/rs2609671_count_position.png",4,220,900)</f>
        <v/>
      </c>
      <c r="T3464">
        <f>IMAGE("https://mitra.stanford.edu/kundaje/oak/projects/neuro-variants/variant_position/credible/roussos_2024/variant_figures/roussos_2024.adolescence.Astrocyte/rs2609671_profile_position.png",4,220,900)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0.043482506</v>
      </c>
      <c r="G3465" t="n">
        <v>0.2683854749784936</v>
      </c>
      <c r="H3465" t="n">
        <v>0.0110085003216363</v>
      </c>
      <c r="I3465" t="n">
        <v>0.6555247769013128</v>
      </c>
      <c r="J3465" t="n">
        <v>0.060775005192416</v>
      </c>
      <c r="K3465" t="n">
        <v>0.4252478061534953</v>
      </c>
      <c r="L3465" t="b">
        <v>0</v>
      </c>
      <c r="M3465" t="b">
        <v>0</v>
      </c>
      <c r="N3465" t="inlineStr">
        <is>
          <t>alt</t>
        </is>
      </c>
      <c r="O3465" t="n">
        <v>85</v>
      </c>
      <c r="P3465" t="n">
        <v>0.00347</v>
      </c>
      <c r="Q3465" t="n">
        <v>-65</v>
      </c>
      <c r="R3465" t="n">
        <v>0.08309999999999999</v>
      </c>
      <c r="S3465">
        <f>IMAGE("https://mitra.stanford.edu/kundaje/oak/projects/neuro-variants/variant_position/credible/roussos_2024/variant_figures/roussos_2024.adolescence.Astrocyte/rs300325_count_position.png",4,220,900)</f>
        <v/>
      </c>
      <c r="T3465">
        <f>IMAGE("https://mitra.stanford.edu/kundaje/oak/projects/neuro-variants/variant_position/credible/roussos_2024/variant_figures/roussos_2024.adolescence.Astrocyte/rs300325_profile_position.png",4,220,900)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-0.09931356619999999</v>
      </c>
      <c r="G3466" t="n">
        <v>0.0887241713900899</v>
      </c>
      <c r="H3466" t="n">
        <v>0.0135341583328424</v>
      </c>
      <c r="I3466" t="n">
        <v>0.4226780726030464</v>
      </c>
      <c r="J3466" t="n">
        <v>0.0009398273150757</v>
      </c>
      <c r="K3466" t="n">
        <v>0.9033659111208336</v>
      </c>
      <c r="L3466" t="b">
        <v>0</v>
      </c>
      <c r="M3466" t="b">
        <v>0</v>
      </c>
      <c r="N3466" t="inlineStr">
        <is>
          <t>ref</t>
        </is>
      </c>
      <c r="O3466" t="n">
        <v>65</v>
      </c>
      <c r="P3466" t="n">
        <v>0.001503</v>
      </c>
      <c r="Q3466" t="n">
        <v>-85</v>
      </c>
      <c r="R3466" t="n">
        <v>0.02869</v>
      </c>
      <c r="S3466">
        <f>IMAGE("https://mitra.stanford.edu/kundaje/oak/projects/neuro-variants/variant_position/credible/roussos_2024/variant_figures/roussos_2024.adolescence.Astrocyte/rs2617267_count_position.png",4,220,900)</f>
        <v/>
      </c>
      <c r="T3466">
        <f>IMAGE("https://mitra.stanford.edu/kundaje/oak/projects/neuro-variants/variant_position/credible/roussos_2024/variant_figures/roussos_2024.adolescence.Astrocyte/rs2617267_profile_position.png",4,220,900)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0.00355316364</v>
      </c>
      <c r="G3467" t="n">
        <v>0.7304893218852159</v>
      </c>
      <c r="H3467" t="n">
        <v>0.0112549244664068</v>
      </c>
      <c r="I3467" t="n">
        <v>0.6169382844450275</v>
      </c>
      <c r="J3467" t="n">
        <v>0.0028291250037088</v>
      </c>
      <c r="K3467" t="n">
        <v>0.8289867715966901</v>
      </c>
      <c r="L3467" t="b">
        <v>0</v>
      </c>
      <c r="M3467" t="b">
        <v>0</v>
      </c>
      <c r="N3467" t="inlineStr">
        <is>
          <t>alt</t>
        </is>
      </c>
      <c r="O3467" t="n">
        <v>100</v>
      </c>
      <c r="P3467" t="n">
        <v>0.009285</v>
      </c>
      <c r="Q3467" t="n">
        <v>90</v>
      </c>
      <c r="R3467" t="n">
        <v>0.1112</v>
      </c>
      <c r="S3467">
        <f>IMAGE("https://mitra.stanford.edu/kundaje/oak/projects/neuro-variants/variant_position/credible/roussos_2024/variant_figures/roussos_2024.adolescence.Astrocyte/rs2964819_count_position.png",4,220,900)</f>
        <v/>
      </c>
      <c r="T3467">
        <f>IMAGE("https://mitra.stanford.edu/kundaje/oak/projects/neuro-variants/variant_position/credible/roussos_2024/variant_figures/roussos_2024.adolescence.Astrocyte/rs2964819_profile_position.png",4,220,900)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0.0552340163</v>
      </c>
      <c r="G3468" t="n">
        <v>0.2250940042609207</v>
      </c>
      <c r="H3468" t="n">
        <v>0.0249585510998342</v>
      </c>
      <c r="I3468" t="n">
        <v>0.0632527472792928</v>
      </c>
      <c r="J3468" t="n">
        <v>0.0083998457110642</v>
      </c>
      <c r="K3468" t="n">
        <v>0.7249197269491947</v>
      </c>
      <c r="L3468" t="b">
        <v>0</v>
      </c>
      <c r="M3468" t="b">
        <v>0</v>
      </c>
      <c r="N3468" t="inlineStr">
        <is>
          <t>alt</t>
        </is>
      </c>
      <c r="O3468" t="n">
        <v>-15</v>
      </c>
      <c r="P3468" t="n">
        <v>0.00246</v>
      </c>
      <c r="Q3468" t="n">
        <v>95</v>
      </c>
      <c r="R3468" t="n">
        <v>0.0757</v>
      </c>
      <c r="S3468">
        <f>IMAGE("https://mitra.stanford.edu/kundaje/oak/projects/neuro-variants/variant_position/credible/roussos_2024/variant_figures/roussos_2024.adolescence.Astrocyte/rs2560245_count_position.png",4,220,900)</f>
        <v/>
      </c>
      <c r="T3468">
        <f>IMAGE("https://mitra.stanford.edu/kundaje/oak/projects/neuro-variants/variant_position/credible/roussos_2024/variant_figures/roussos_2024.adolescence.Astrocyte/rs2560245_profile_position.png",4,220,900)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0.0843130316</v>
      </c>
      <c r="G3469" t="n">
        <v>0.1243720753082722</v>
      </c>
      <c r="H3469" t="n">
        <v>0.0156582611641603</v>
      </c>
      <c r="I3469" t="n">
        <v>0.2900669006047559</v>
      </c>
      <c r="J3469" t="n">
        <v>0.0258367207666972</v>
      </c>
      <c r="K3469" t="n">
        <v>0.5755782636314177</v>
      </c>
      <c r="L3469" t="b">
        <v>0</v>
      </c>
      <c r="M3469" t="b">
        <v>0</v>
      </c>
      <c r="N3469" t="inlineStr">
        <is>
          <t>alt</t>
        </is>
      </c>
      <c r="O3469" t="n">
        <v>-40</v>
      </c>
      <c r="P3469" t="n">
        <v>0.004303</v>
      </c>
      <c r="Q3469" t="n">
        <v>85</v>
      </c>
      <c r="R3469" t="n">
        <v>0.0751</v>
      </c>
      <c r="S3469">
        <f>IMAGE("https://mitra.stanford.edu/kundaje/oak/projects/neuro-variants/variant_position/credible/roussos_2024/variant_figures/roussos_2024.adolescence.Astrocyte/rs2446429_count_position.png",4,220,900)</f>
        <v/>
      </c>
      <c r="T3469">
        <f>IMAGE("https://mitra.stanford.edu/kundaje/oak/projects/neuro-variants/variant_position/credible/roussos_2024/variant_figures/roussos_2024.adolescence.Astrocyte/rs2446429_profile_position.png",4,220,900)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-0.057487363</v>
      </c>
      <c r="G3470" t="n">
        <v>0.212691911970037</v>
      </c>
      <c r="H3470" t="n">
        <v>0.0140229706634422</v>
      </c>
      <c r="I3470" t="n">
        <v>0.3888841048424655</v>
      </c>
      <c r="J3470" t="n">
        <v>0.0197638192445775</v>
      </c>
      <c r="K3470" t="n">
        <v>0.6088718493079429</v>
      </c>
      <c r="L3470" t="b">
        <v>0</v>
      </c>
      <c r="M3470" t="b">
        <v>0</v>
      </c>
      <c r="N3470" t="inlineStr">
        <is>
          <t>ref</t>
        </is>
      </c>
      <c r="O3470" t="n">
        <v>50</v>
      </c>
      <c r="P3470" t="n">
        <v>0.00448</v>
      </c>
      <c r="Q3470" t="n">
        <v>-20</v>
      </c>
      <c r="R3470" t="n">
        <v>0.02563</v>
      </c>
      <c r="S3470">
        <f>IMAGE("https://mitra.stanford.edu/kundaje/oak/projects/neuro-variants/variant_position/credible/roussos_2024/variant_figures/roussos_2024.adolescence.Astrocyte/rs2560247_count_position.png",4,220,900)</f>
        <v/>
      </c>
      <c r="T3470">
        <f>IMAGE("https://mitra.stanford.edu/kundaje/oak/projects/neuro-variants/variant_position/credible/roussos_2024/variant_figures/roussos_2024.adolescence.Astrocyte/rs2560247_profile_position.png",4,220,900)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-0.01903413956</v>
      </c>
      <c r="G3471" t="n">
        <v>0.5843064878754489</v>
      </c>
      <c r="H3471" t="n">
        <v>0.0142572753554965</v>
      </c>
      <c r="I3471" t="n">
        <v>0.3731030837324154</v>
      </c>
      <c r="J3471" t="n">
        <v>0.000479927602884</v>
      </c>
      <c r="K3471" t="n">
        <v>0.9412443990559588</v>
      </c>
      <c r="L3471" t="b">
        <v>0</v>
      </c>
      <c r="M3471" t="b">
        <v>0</v>
      </c>
      <c r="N3471" t="inlineStr">
        <is>
          <t>ref</t>
        </is>
      </c>
      <c r="O3471" t="n">
        <v>65</v>
      </c>
      <c r="P3471" t="n">
        <v>0.005753</v>
      </c>
      <c r="Q3471" t="n">
        <v>-70</v>
      </c>
      <c r="R3471" t="n">
        <v>0.1841</v>
      </c>
      <c r="S3471">
        <f>IMAGE("https://mitra.stanford.edu/kundaje/oak/projects/neuro-variants/variant_position/credible/roussos_2024/variant_figures/roussos_2024.adolescence.Astrocyte/rs170027_count_position.png",4,220,900)</f>
        <v/>
      </c>
      <c r="T3471">
        <f>IMAGE("https://mitra.stanford.edu/kundaje/oak/projects/neuro-variants/variant_position/credible/roussos_2024/variant_figures/roussos_2024.adolescence.Astrocyte/rs170027_profile_position.png",4,220,900)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-1.150497818</v>
      </c>
      <c r="G3472" t="n">
        <v>1.586005803575747e-05</v>
      </c>
      <c r="H3472" t="n">
        <v>0.226773517936051</v>
      </c>
      <c r="I3472" t="n">
        <v>2.205291903986829e-05</v>
      </c>
      <c r="J3472" t="n">
        <v>0.0842625285582885</v>
      </c>
      <c r="K3472" t="n">
        <v>0.3559555339818653</v>
      </c>
      <c r="L3472" t="b">
        <v>1</v>
      </c>
      <c r="M3472" t="b">
        <v>1</v>
      </c>
      <c r="N3472" t="inlineStr">
        <is>
          <t>ref</t>
        </is>
      </c>
      <c r="O3472" t="n">
        <v>5</v>
      </c>
      <c r="P3472" t="n">
        <v>0.0002441</v>
      </c>
      <c r="Q3472" t="n">
        <v>100</v>
      </c>
      <c r="R3472" t="n">
        <v>0.1128</v>
      </c>
      <c r="S3472">
        <f>IMAGE("https://mitra.stanford.edu/kundaje/oak/projects/neuro-variants/variant_position/credible/roussos_2024/variant_figures/roussos_2024.adolescence.Astrocyte/rs304859_count_position.png",4,220,900)</f>
        <v/>
      </c>
      <c r="T3472">
        <f>IMAGE("https://mitra.stanford.edu/kundaje/oak/projects/neuro-variants/variant_position/credible/roussos_2024/variant_figures/roussos_2024.adolescence.Astrocyte/rs304859_profile_position.png",4,220,900)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-0.1071957004</v>
      </c>
      <c r="G3473" t="n">
        <v>0.07956399949843949</v>
      </c>
      <c r="H3473" t="n">
        <v>0.0129711813520052</v>
      </c>
      <c r="I3473" t="n">
        <v>0.467353433858922</v>
      </c>
      <c r="J3473" t="n">
        <v>0.0041242619351392</v>
      </c>
      <c r="K3473" t="n">
        <v>0.7828390119921151</v>
      </c>
      <c r="L3473" t="b">
        <v>0</v>
      </c>
      <c r="M3473" t="b">
        <v>0</v>
      </c>
      <c r="N3473" t="inlineStr">
        <is>
          <t>ref</t>
        </is>
      </c>
      <c r="O3473" t="n">
        <v>-100</v>
      </c>
      <c r="P3473" t="n">
        <v>0.008489999999999999</v>
      </c>
      <c r="Q3473" t="n">
        <v>100</v>
      </c>
      <c r="R3473" t="n">
        <v>0.2089</v>
      </c>
      <c r="S3473">
        <f>IMAGE("https://mitra.stanford.edu/kundaje/oak/projects/neuro-variants/variant_position/credible/roussos_2024/variant_figures/roussos_2024.adolescence.Astrocyte/rs35407853_count_position.png",4,220,900)</f>
        <v/>
      </c>
      <c r="T3473">
        <f>IMAGE("https://mitra.stanford.edu/kundaje/oak/projects/neuro-variants/variant_position/credible/roussos_2024/variant_figures/roussos_2024.adolescence.Astrocyte/rs35407853_profile_position.png",4,220,900)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0.0651109552</v>
      </c>
      <c r="G3474" t="n">
        <v>0.1778577185588646</v>
      </c>
      <c r="H3474" t="n">
        <v>0.009620342790625401</v>
      </c>
      <c r="I3474" t="n">
        <v>0.7410880759203522</v>
      </c>
      <c r="J3474" t="n">
        <v>0.0043697890395513</v>
      </c>
      <c r="K3474" t="n">
        <v>0.7645268013724835</v>
      </c>
      <c r="L3474" t="b">
        <v>0</v>
      </c>
      <c r="M3474" t="b">
        <v>0</v>
      </c>
      <c r="N3474" t="inlineStr">
        <is>
          <t>alt</t>
        </is>
      </c>
      <c r="O3474" t="n">
        <v>80</v>
      </c>
      <c r="P3474" t="n">
        <v>0.01051</v>
      </c>
      <c r="Q3474" t="n">
        <v>35</v>
      </c>
      <c r="R3474" t="n">
        <v>0.0856</v>
      </c>
      <c r="S3474">
        <f>IMAGE("https://mitra.stanford.edu/kundaje/oak/projects/neuro-variants/variant_position/credible/roussos_2024/variant_figures/roussos_2024.adolescence.Astrocyte/rs304863_count_position.png",4,220,900)</f>
        <v/>
      </c>
      <c r="T3474">
        <f>IMAGE("https://mitra.stanford.edu/kundaje/oak/projects/neuro-variants/variant_position/credible/roussos_2024/variant_figures/roussos_2024.adolescence.Astrocyte/rs304863_profile_position.png",4,220,900)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0.0446488763999999</v>
      </c>
      <c r="G3475" t="n">
        <v>0.2958838998627106</v>
      </c>
      <c r="H3475" t="n">
        <v>0.01570226406601</v>
      </c>
      <c r="I3475" t="n">
        <v>0.2852524411002349</v>
      </c>
      <c r="J3475" t="n">
        <v>0.0047874076491706</v>
      </c>
      <c r="K3475" t="n">
        <v>0.7565994162779303</v>
      </c>
      <c r="L3475" t="b">
        <v>0</v>
      </c>
      <c r="M3475" t="b">
        <v>0</v>
      </c>
      <c r="N3475" t="inlineStr">
        <is>
          <t>alt</t>
        </is>
      </c>
      <c r="O3475" t="n">
        <v>-90</v>
      </c>
      <c r="P3475" t="n">
        <v>0.06256</v>
      </c>
      <c r="Q3475" t="n">
        <v>85</v>
      </c>
      <c r="R3475" t="n">
        <v>0.1366</v>
      </c>
      <c r="S3475">
        <f>IMAGE("https://mitra.stanford.edu/kundaje/oak/projects/neuro-variants/variant_position/credible/roussos_2024/variant_figures/roussos_2024.adolescence.Astrocyte/rs304864_count_position.png",4,220,900)</f>
        <v/>
      </c>
      <c r="T3475">
        <f>IMAGE("https://mitra.stanford.edu/kundaje/oak/projects/neuro-variants/variant_position/credible/roussos_2024/variant_figures/roussos_2024.adolescence.Astrocyte/rs304864_profile_position.png",4,220,900)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0.1016542563999999</v>
      </c>
      <c r="G3476" t="n">
        <v>0.0836697496918751</v>
      </c>
      <c r="H3476" t="n">
        <v>0.0257015038546154</v>
      </c>
      <c r="I3476" t="n">
        <v>0.0585213029068053</v>
      </c>
      <c r="J3476" t="n">
        <v>0.06479838590036489</v>
      </c>
      <c r="K3476" t="n">
        <v>0.4146730957729724</v>
      </c>
      <c r="L3476" t="b">
        <v>0</v>
      </c>
      <c r="M3476" t="b">
        <v>0</v>
      </c>
      <c r="N3476" t="inlineStr">
        <is>
          <t>alt</t>
        </is>
      </c>
      <c r="O3476" t="n">
        <v>-70</v>
      </c>
      <c r="P3476" t="n">
        <v>0.01479</v>
      </c>
      <c r="Q3476" t="n">
        <v>-70</v>
      </c>
      <c r="R3476" t="n">
        <v>0.4058</v>
      </c>
      <c r="S3476">
        <f>IMAGE("https://mitra.stanford.edu/kundaje/oak/projects/neuro-variants/variant_position/credible/roussos_2024/variant_figures/roussos_2024.adolescence.Astrocyte/rs159759_count_position.png",4,220,900)</f>
        <v/>
      </c>
      <c r="T3476">
        <f>IMAGE("https://mitra.stanford.edu/kundaje/oak/projects/neuro-variants/variant_position/credible/roussos_2024/variant_figures/roussos_2024.adolescence.Astrocyte/rs159759_profile_position.png",4,220,900)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-0.1258030908</v>
      </c>
      <c r="G3477" t="n">
        <v>0.0529372262668768</v>
      </c>
      <c r="H3477" t="n">
        <v>0.0186924090098786</v>
      </c>
      <c r="I3477" t="n">
        <v>0.1692050023997101</v>
      </c>
      <c r="J3477" t="n">
        <v>0.1788438714654481</v>
      </c>
      <c r="K3477" t="n">
        <v>0.2229457248103234</v>
      </c>
      <c r="L3477" t="b">
        <v>0</v>
      </c>
      <c r="M3477" t="b">
        <v>0</v>
      </c>
      <c r="N3477" t="inlineStr">
        <is>
          <t>ref</t>
        </is>
      </c>
      <c r="O3477" t="n">
        <v>80</v>
      </c>
      <c r="P3477" t="n">
        <v>0.013916</v>
      </c>
      <c r="Q3477" t="n">
        <v>-10</v>
      </c>
      <c r="R3477" t="n">
        <v>0.11865</v>
      </c>
      <c r="S3477">
        <f>IMAGE("https://mitra.stanford.edu/kundaje/oak/projects/neuro-variants/variant_position/credible/roussos_2024/variant_figures/roussos_2024.adolescence.Astrocyte/rs160066_count_position.png",4,220,900)</f>
        <v/>
      </c>
      <c r="T3477">
        <f>IMAGE("https://mitra.stanford.edu/kundaje/oak/projects/neuro-variants/variant_position/credible/roussos_2024/variant_figures/roussos_2024.adolescence.Astrocyte/rs160066_profile_position.png",4,220,900)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0.68518049</v>
      </c>
      <c r="G3478" t="n">
        <v>0.0003394183802782</v>
      </c>
      <c r="H3478" t="n">
        <v>0.0675053039632125</v>
      </c>
      <c r="I3478" t="n">
        <v>0.001316004453314</v>
      </c>
      <c r="J3478" t="n">
        <v>0.433942082307213</v>
      </c>
      <c r="K3478" t="n">
        <v>0.0754151396689756</v>
      </c>
      <c r="L3478" t="b">
        <v>1</v>
      </c>
      <c r="M3478" t="b">
        <v>1</v>
      </c>
      <c r="N3478" t="inlineStr">
        <is>
          <t>alt</t>
        </is>
      </c>
      <c r="O3478" t="n">
        <v>55</v>
      </c>
      <c r="P3478" t="n">
        <v>0.01123</v>
      </c>
      <c r="Q3478" t="n">
        <v>-50</v>
      </c>
      <c r="R3478" t="n">
        <v>0.1504</v>
      </c>
      <c r="S3478">
        <f>IMAGE("https://mitra.stanford.edu/kundaje/oak/projects/neuro-variants/variant_position/credible/roussos_2024/variant_figures/roussos_2024.adolescence.Astrocyte/rs150618_count_position.png",4,220,900)</f>
        <v/>
      </c>
      <c r="T3478">
        <f>IMAGE("https://mitra.stanford.edu/kundaje/oak/projects/neuro-variants/variant_position/credible/roussos_2024/variant_figures/roussos_2024.adolescence.Astrocyte/rs150618_profile_position.png",4,220,900)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-0.0388319488</v>
      </c>
      <c r="G3479" t="n">
        <v>0.1984236370674719</v>
      </c>
      <c r="H3479" t="n">
        <v>0.0189048749789951</v>
      </c>
      <c r="I3479" t="n">
        <v>0.1625493660921475</v>
      </c>
      <c r="J3479" t="n">
        <v>0.2123601756520191</v>
      </c>
      <c r="K3479" t="n">
        <v>0.1931236155697105</v>
      </c>
      <c r="L3479" t="b">
        <v>0</v>
      </c>
      <c r="M3479" t="b">
        <v>0</v>
      </c>
      <c r="N3479" t="inlineStr">
        <is>
          <t>ref</t>
        </is>
      </c>
      <c r="O3479" t="n">
        <v>5</v>
      </c>
      <c r="P3479" t="n">
        <v>0.001221</v>
      </c>
      <c r="Q3479" t="n">
        <v>-100</v>
      </c>
      <c r="R3479" t="n">
        <v>0.1995</v>
      </c>
      <c r="S3479">
        <f>IMAGE("https://mitra.stanford.edu/kundaje/oak/projects/neuro-variants/variant_position/credible/roussos_2024/variant_figures/roussos_2024.adolescence.Astrocyte/rs149095_count_position.png",4,220,900)</f>
        <v/>
      </c>
      <c r="T3479">
        <f>IMAGE("https://mitra.stanford.edu/kundaje/oak/projects/neuro-variants/variant_position/credible/roussos_2024/variant_figures/roussos_2024.adolescence.Astrocyte/rs149095_profile_position.png",4,220,900)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0.01108648626</v>
      </c>
      <c r="G3480" t="n">
        <v>0.6685583354842093</v>
      </c>
      <c r="H3480" t="n">
        <v>0.0161525273962612</v>
      </c>
      <c r="I3480" t="n">
        <v>0.2646116925897619</v>
      </c>
      <c r="J3480" t="n">
        <v>0.015497878527134</v>
      </c>
      <c r="K3480" t="n">
        <v>0.6262894375427497</v>
      </c>
      <c r="L3480" t="b">
        <v>0</v>
      </c>
      <c r="M3480" t="b">
        <v>0</v>
      </c>
      <c r="N3480" t="inlineStr">
        <is>
          <t>alt</t>
        </is>
      </c>
      <c r="O3480" t="n">
        <v>-40</v>
      </c>
      <c r="P3480" t="n">
        <v>0.002167</v>
      </c>
      <c r="Q3480" t="n">
        <v>-100</v>
      </c>
      <c r="R3480" t="n">
        <v>0.0665</v>
      </c>
      <c r="S3480">
        <f>IMAGE("https://mitra.stanford.edu/kundaje/oak/projects/neuro-variants/variant_position/credible/roussos_2024/variant_figures/roussos_2024.adolescence.Astrocyte/rs159972_count_position.png",4,220,900)</f>
        <v/>
      </c>
      <c r="T3480">
        <f>IMAGE("https://mitra.stanford.edu/kundaje/oak/projects/neuro-variants/variant_position/credible/roussos_2024/variant_figures/roussos_2024.adolescence.Astrocyte/rs159972_profile_position.png",4,220,900)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0.0467914066</v>
      </c>
      <c r="G3481" t="n">
        <v>0.2572798886060271</v>
      </c>
      <c r="H3481" t="n">
        <v>0.0101594659727015</v>
      </c>
      <c r="I3481" t="n">
        <v>0.7409491081627135</v>
      </c>
      <c r="J3481" t="n">
        <v>0.0160393733495534</v>
      </c>
      <c r="K3481" t="n">
        <v>0.6119938168397833</v>
      </c>
      <c r="L3481" t="b">
        <v>0</v>
      </c>
      <c r="M3481" t="b">
        <v>0</v>
      </c>
      <c r="N3481" t="inlineStr">
        <is>
          <t>alt</t>
        </is>
      </c>
      <c r="O3481" t="n">
        <v>100</v>
      </c>
      <c r="P3481" t="n">
        <v>0.01382</v>
      </c>
      <c r="Q3481" t="n">
        <v>-20</v>
      </c>
      <c r="R3481" t="n">
        <v>0.01819</v>
      </c>
      <c r="S3481">
        <f>IMAGE("https://mitra.stanford.edu/kundaje/oak/projects/neuro-variants/variant_position/credible/roussos_2024/variant_figures/roussos_2024.adolescence.Astrocyte/rs159973_count_position.png",4,220,900)</f>
        <v/>
      </c>
      <c r="T3481">
        <f>IMAGE("https://mitra.stanford.edu/kundaje/oak/projects/neuro-variants/variant_position/credible/roussos_2024/variant_figures/roussos_2024.adolescence.Astrocyte/rs159973_profile_position.png",4,220,900)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0.106020546</v>
      </c>
      <c r="G3482" t="n">
        <v>0.08247502029528379</v>
      </c>
      <c r="H3482" t="n">
        <v>0.0222728813197343</v>
      </c>
      <c r="I3482" t="n">
        <v>0.09746899577746319</v>
      </c>
      <c r="J3482" t="n">
        <v>0.0030865204877903</v>
      </c>
      <c r="K3482" t="n">
        <v>0.8255916977168979</v>
      </c>
      <c r="L3482" t="b">
        <v>0</v>
      </c>
      <c r="M3482" t="b">
        <v>0</v>
      </c>
      <c r="N3482" t="inlineStr">
        <is>
          <t>alt</t>
        </is>
      </c>
      <c r="O3482" t="n">
        <v>-80</v>
      </c>
      <c r="P3482" t="n">
        <v>0.002945</v>
      </c>
      <c r="Q3482" t="n">
        <v>-15</v>
      </c>
      <c r="R3482" t="n">
        <v>0.04224</v>
      </c>
      <c r="S3482">
        <f>IMAGE("https://mitra.stanford.edu/kundaje/oak/projects/neuro-variants/variant_position/credible/roussos_2024/variant_figures/roussos_2024.adolescence.Astrocyte/rs304883_count_position.png",4,220,900)</f>
        <v/>
      </c>
      <c r="T3482">
        <f>IMAGE("https://mitra.stanford.edu/kundaje/oak/projects/neuro-variants/variant_position/credible/roussos_2024/variant_figures/roussos_2024.adolescence.Astrocyte/rs304883_profile_position.png",4,220,900)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-0.01306101412</v>
      </c>
      <c r="G3483" t="n">
        <v>0.6615074631713792</v>
      </c>
      <c r="H3483" t="n">
        <v>0.0138348815817927</v>
      </c>
      <c r="I3483" t="n">
        <v>0.3940002677171042</v>
      </c>
      <c r="J3483" t="n">
        <v>0.0005125656469749</v>
      </c>
      <c r="K3483" t="n">
        <v>0.9210499039390654</v>
      </c>
      <c r="L3483" t="b">
        <v>0</v>
      </c>
      <c r="M3483" t="b">
        <v>0</v>
      </c>
      <c r="N3483" t="inlineStr">
        <is>
          <t>ref</t>
        </is>
      </c>
      <c r="O3483" t="n">
        <v>-25</v>
      </c>
      <c r="P3483" t="n">
        <v>0.014084</v>
      </c>
      <c r="Q3483" t="n">
        <v>-95</v>
      </c>
      <c r="R3483" t="n">
        <v>0.02673</v>
      </c>
      <c r="S3483">
        <f>IMAGE("https://mitra.stanford.edu/kundaje/oak/projects/neuro-variants/variant_position/credible/roussos_2024/variant_figures/roussos_2024.adolescence.Astrocyte/rs304884_count_position.png",4,220,900)</f>
        <v/>
      </c>
      <c r="T3483">
        <f>IMAGE("https://mitra.stanford.edu/kundaje/oak/projects/neuro-variants/variant_position/credible/roussos_2024/variant_figures/roussos_2024.adolescence.Astrocyte/rs304884_profile_position.png",4,220,900)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0.02751925588</v>
      </c>
      <c r="G3484" t="n">
        <v>0.3910805742102249</v>
      </c>
      <c r="H3484" t="n">
        <v>0.0126648223290455</v>
      </c>
      <c r="I3484" t="n">
        <v>0.490625771015401</v>
      </c>
      <c r="J3484" t="n">
        <v>0.0012498887339405</v>
      </c>
      <c r="K3484" t="n">
        <v>0.8586162732448471</v>
      </c>
      <c r="L3484" t="b">
        <v>0</v>
      </c>
      <c r="M3484" t="b">
        <v>0</v>
      </c>
      <c r="N3484" t="inlineStr">
        <is>
          <t>alt</t>
        </is>
      </c>
      <c r="O3484" t="n">
        <v>85</v>
      </c>
      <c r="P3484" t="n">
        <v>0.001749</v>
      </c>
      <c r="Q3484" t="n">
        <v>100</v>
      </c>
      <c r="R3484" t="n">
        <v>0.05054</v>
      </c>
      <c r="S3484">
        <f>IMAGE("https://mitra.stanford.edu/kundaje/oak/projects/neuro-variants/variant_position/credible/roussos_2024/variant_figures/roussos_2024.adolescence.Astrocyte/rs304853_count_position.png",4,220,900)</f>
        <v/>
      </c>
      <c r="T3484">
        <f>IMAGE("https://mitra.stanford.edu/kundaje/oak/projects/neuro-variants/variant_position/credible/roussos_2024/variant_figures/roussos_2024.adolescence.Astrocyte/rs304853_profile_position.png",4,220,900)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0.0154361554</v>
      </c>
      <c r="G3485" t="n">
        <v>0.09346523929945121</v>
      </c>
      <c r="H3485" t="n">
        <v>0.0172407334227462</v>
      </c>
      <c r="I3485" t="n">
        <v>0.2167542261599678</v>
      </c>
      <c r="J3485" t="n">
        <v>0.08197489837699901</v>
      </c>
      <c r="K3485" t="n">
        <v>0.3673734601780609</v>
      </c>
      <c r="L3485" t="b">
        <v>0</v>
      </c>
      <c r="M3485" t="b">
        <v>0</v>
      </c>
      <c r="N3485" t="inlineStr">
        <is>
          <t>alt</t>
        </is>
      </c>
      <c r="O3485" t="n">
        <v>95</v>
      </c>
      <c r="P3485" t="n">
        <v>0.00993</v>
      </c>
      <c r="Q3485" t="n">
        <v>95</v>
      </c>
      <c r="R3485" t="n">
        <v>0.1001</v>
      </c>
      <c r="S3485">
        <f>IMAGE("https://mitra.stanford.edu/kundaje/oak/projects/neuro-variants/variant_position/credible/roussos_2024/variant_figures/roussos_2024.adolescence.Astrocyte/rs304855_count_position.png",4,220,900)</f>
        <v/>
      </c>
      <c r="T3485">
        <f>IMAGE("https://mitra.stanford.edu/kundaje/oak/projects/neuro-variants/variant_position/credible/roussos_2024/variant_figures/roussos_2024.adolescence.Astrocyte/rs304855_profile_position.png",4,220,900)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-0.1240960462</v>
      </c>
      <c r="G3486" t="n">
        <v>0.054194185942202</v>
      </c>
      <c r="H3486" t="n">
        <v>0.0138839347206838</v>
      </c>
      <c r="I3486" t="n">
        <v>0.3983087537007613</v>
      </c>
      <c r="J3486" t="n">
        <v>0.0014375574874639</v>
      </c>
      <c r="K3486" t="n">
        <v>0.881914401859945</v>
      </c>
      <c r="L3486" t="b">
        <v>0</v>
      </c>
      <c r="M3486" t="b">
        <v>0</v>
      </c>
      <c r="N3486" t="inlineStr">
        <is>
          <t>ref</t>
        </is>
      </c>
      <c r="O3486" t="n">
        <v>95</v>
      </c>
      <c r="P3486" t="n">
        <v>0.00602</v>
      </c>
      <c r="Q3486" t="n">
        <v>-75</v>
      </c>
      <c r="R3486" t="n">
        <v>0.1088</v>
      </c>
      <c r="S3486">
        <f>IMAGE("https://mitra.stanford.edu/kundaje/oak/projects/neuro-variants/variant_position/credible/roussos_2024/variant_figures/roussos_2024.adolescence.Astrocyte/rs160161_count_position.png",4,220,900)</f>
        <v/>
      </c>
      <c r="T3486">
        <f>IMAGE("https://mitra.stanford.edu/kundaje/oak/projects/neuro-variants/variant_position/credible/roussos_2024/variant_figures/roussos_2024.adolescence.Astrocyte/rs160161_profile_position.png",4,220,900)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0.005101580066</v>
      </c>
      <c r="G3487" t="n">
        <v>0.8064193332210534</v>
      </c>
      <c r="H3487" t="n">
        <v>0.0313917901553745</v>
      </c>
      <c r="I3487" t="n">
        <v>0.0263130326008452</v>
      </c>
      <c r="J3487" t="n">
        <v>0.0348574310892205</v>
      </c>
      <c r="K3487" t="n">
        <v>0.4952374855600945</v>
      </c>
      <c r="L3487" t="b">
        <v>0</v>
      </c>
      <c r="M3487" t="b">
        <v>0</v>
      </c>
      <c r="N3487" t="inlineStr">
        <is>
          <t>alt</t>
        </is>
      </c>
      <c r="O3487" t="n">
        <v>85</v>
      </c>
      <c r="P3487" t="n">
        <v>0.00608</v>
      </c>
      <c r="Q3487" t="n">
        <v>-100</v>
      </c>
      <c r="R3487" t="n">
        <v>0.1316</v>
      </c>
      <c r="S3487">
        <f>IMAGE("https://mitra.stanford.edu/kundaje/oak/projects/neuro-variants/variant_position/credible/roussos_2024/variant_figures/roussos_2024.adolescence.Astrocyte/rs13172447_count_position.png",4,220,900)</f>
        <v/>
      </c>
      <c r="T3487">
        <f>IMAGE("https://mitra.stanford.edu/kundaje/oak/projects/neuro-variants/variant_position/credible/roussos_2024/variant_figures/roussos_2024.adolescence.Astrocyte/rs13172447_profile_position.png",4,220,900)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0.0045158441368</v>
      </c>
      <c r="G3488" t="n">
        <v>0.6128010411628617</v>
      </c>
      <c r="H3488" t="n">
        <v>0.0140609784804544</v>
      </c>
      <c r="I3488" t="n">
        <v>0.3898373651780552</v>
      </c>
      <c r="J3488" t="n">
        <v>0.0571299290864314</v>
      </c>
      <c r="K3488" t="n">
        <v>0.4185577121145334</v>
      </c>
      <c r="L3488" t="b">
        <v>0</v>
      </c>
      <c r="M3488" t="b">
        <v>0</v>
      </c>
      <c r="N3488" t="inlineStr">
        <is>
          <t>alt</t>
        </is>
      </c>
      <c r="O3488" t="n">
        <v>-55</v>
      </c>
      <c r="P3488" t="n">
        <v>0.0056</v>
      </c>
      <c r="Q3488" t="n">
        <v>50</v>
      </c>
      <c r="R3488" t="n">
        <v>0.0701</v>
      </c>
      <c r="S3488">
        <f>IMAGE("https://mitra.stanford.edu/kundaje/oak/projects/neuro-variants/variant_position/credible/roussos_2024/variant_figures/roussos_2024.adolescence.Astrocyte/rs4246043_count_position.png",4,220,900)</f>
        <v/>
      </c>
      <c r="T3488">
        <f>IMAGE("https://mitra.stanford.edu/kundaje/oak/projects/neuro-variants/variant_position/credible/roussos_2024/variant_figures/roussos_2024.adolescence.Astrocyte/rs4246043_profile_position.png",4,220,900)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0.0127862743599999</v>
      </c>
      <c r="G3489" t="n">
        <v>0.6551625460701637</v>
      </c>
      <c r="H3489" t="n">
        <v>0.0296842676609173</v>
      </c>
      <c r="I3489" t="n">
        <v>0.0332654881742102</v>
      </c>
      <c r="J3489" t="n">
        <v>0.0102238673115152</v>
      </c>
      <c r="K3489" t="n">
        <v>0.6674467034209991</v>
      </c>
      <c r="L3489" t="b">
        <v>0</v>
      </c>
      <c r="M3489" t="b">
        <v>0</v>
      </c>
      <c r="N3489" t="inlineStr">
        <is>
          <t>alt</t>
        </is>
      </c>
      <c r="O3489" t="n">
        <v>100</v>
      </c>
      <c r="P3489" t="n">
        <v>0.01246</v>
      </c>
      <c r="Q3489" t="n">
        <v>-85</v>
      </c>
      <c r="R3489" t="n">
        <v>0.09180000000000001</v>
      </c>
      <c r="S3489">
        <f>IMAGE("https://mitra.stanford.edu/kundaje/oak/projects/neuro-variants/variant_position/credible/roussos_2024/variant_figures/roussos_2024.adolescence.Astrocyte/rs3811983_count_position.png",4,220,900)</f>
        <v/>
      </c>
      <c r="T3489">
        <f>IMAGE("https://mitra.stanford.edu/kundaje/oak/projects/neuro-variants/variant_position/credible/roussos_2024/variant_figures/roussos_2024.adolescence.Astrocyte/rs3811983_profile_position.png",4,220,900)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0.1292901472</v>
      </c>
      <c r="G3490" t="n">
        <v>0.0531032755518988</v>
      </c>
      <c r="H3490" t="n">
        <v>0.019212573518928</v>
      </c>
      <c r="I3490" t="n">
        <v>0.1638652335843387</v>
      </c>
      <c r="J3490" t="n">
        <v>0.1195479630893391</v>
      </c>
      <c r="K3490" t="n">
        <v>0.3058626805846531</v>
      </c>
      <c r="L3490" t="b">
        <v>0</v>
      </c>
      <c r="M3490" t="b">
        <v>0</v>
      </c>
      <c r="N3490" t="inlineStr">
        <is>
          <t>alt</t>
        </is>
      </c>
      <c r="O3490" t="n">
        <v>-95</v>
      </c>
      <c r="P3490" t="n">
        <v>0.005608</v>
      </c>
      <c r="Q3490" t="n">
        <v>-50</v>
      </c>
      <c r="R3490" t="n">
        <v>0.05322</v>
      </c>
      <c r="S3490">
        <f>IMAGE("https://mitra.stanford.edu/kundaje/oak/projects/neuro-variants/variant_position/credible/roussos_2024/variant_figures/roussos_2024.adolescence.Astrocyte/rs1347798_count_position.png",4,220,900)</f>
        <v/>
      </c>
      <c r="T3490">
        <f>IMAGE("https://mitra.stanford.edu/kundaje/oak/projects/neuro-variants/variant_position/credible/roussos_2024/variant_figures/roussos_2024.adolescence.Astrocyte/rs1347798_profile_position.png",4,220,900)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-0.4817190379999999</v>
      </c>
      <c r="G3491" t="n">
        <v>0.001386656316772</v>
      </c>
      <c r="H3491" t="n">
        <v>0.0680335826810704</v>
      </c>
      <c r="I3491" t="n">
        <v>0.0013010246587809</v>
      </c>
      <c r="J3491" t="n">
        <v>0.1890180399370975</v>
      </c>
      <c r="K3491" t="n">
        <v>0.2189557929477988</v>
      </c>
      <c r="L3491" t="b">
        <v>1</v>
      </c>
      <c r="M3491" t="b">
        <v>1</v>
      </c>
      <c r="N3491" t="inlineStr">
        <is>
          <t>ref</t>
        </is>
      </c>
      <c r="O3491" t="n">
        <v>100</v>
      </c>
      <c r="P3491" t="n">
        <v>0.01247</v>
      </c>
      <c r="Q3491" t="n">
        <v>100</v>
      </c>
      <c r="R3491" t="n">
        <v>0.0442</v>
      </c>
      <c r="S3491">
        <f>IMAGE("https://mitra.stanford.edu/kundaje/oak/projects/neuro-variants/variant_position/credible/roussos_2024/variant_figures/roussos_2024.adolescence.Astrocyte/rs425263_count_position.png",4,220,900)</f>
        <v/>
      </c>
      <c r="T3491">
        <f>IMAGE("https://mitra.stanford.edu/kundaje/oak/projects/neuro-variants/variant_position/credible/roussos_2024/variant_figures/roussos_2024.adolescence.Astrocyte/rs425263_profile_position.png",4,220,900)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0.00423870294</v>
      </c>
      <c r="G3492" t="n">
        <v>0.7226527992882814</v>
      </c>
      <c r="H3492" t="n">
        <v>0.0231348893674587</v>
      </c>
      <c r="I3492" t="n">
        <v>0.0831369093283247</v>
      </c>
      <c r="J3492" t="n">
        <v>0.0003434412366851</v>
      </c>
      <c r="K3492" t="n">
        <v>0.9337377074896696</v>
      </c>
      <c r="L3492" t="b">
        <v>0</v>
      </c>
      <c r="M3492" t="b">
        <v>0</v>
      </c>
      <c r="N3492" t="inlineStr">
        <is>
          <t>alt</t>
        </is>
      </c>
      <c r="O3492" t="n">
        <v>90</v>
      </c>
      <c r="P3492" t="n">
        <v>0.02954</v>
      </c>
      <c r="Q3492" t="n">
        <v>-25</v>
      </c>
      <c r="R3492" t="n">
        <v>0.03635</v>
      </c>
      <c r="S3492">
        <f>IMAGE("https://mitra.stanford.edu/kundaje/oak/projects/neuro-variants/variant_position/credible/roussos_2024/variant_figures/roussos_2024.adolescence.Astrocyte/rs6580047_count_position.png",4,220,900)</f>
        <v/>
      </c>
      <c r="T3492">
        <f>IMAGE("https://mitra.stanford.edu/kundaje/oak/projects/neuro-variants/variant_position/credible/roussos_2024/variant_figures/roussos_2024.adolescence.Astrocyte/rs6580047_profile_position.png",4,220,900)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-0.01698954926</v>
      </c>
      <c r="G3493" t="n">
        <v>0.516418258726659</v>
      </c>
      <c r="H3493" t="n">
        <v>0.0095386618107821</v>
      </c>
      <c r="I3493" t="n">
        <v>0.7885431312211257</v>
      </c>
      <c r="J3493" t="n">
        <v>0.008950241818235701</v>
      </c>
      <c r="K3493" t="n">
        <v>0.7039340213652769</v>
      </c>
      <c r="L3493" t="b">
        <v>0</v>
      </c>
      <c r="M3493" t="b">
        <v>0</v>
      </c>
      <c r="N3493" t="inlineStr">
        <is>
          <t>ref</t>
        </is>
      </c>
      <c r="O3493" t="n">
        <v>95</v>
      </c>
      <c r="P3493" t="n">
        <v>0.01493</v>
      </c>
      <c r="Q3493" t="n">
        <v>75</v>
      </c>
      <c r="R3493" t="n">
        <v>0.1812</v>
      </c>
      <c r="S3493">
        <f>IMAGE("https://mitra.stanford.edu/kundaje/oak/projects/neuro-variants/variant_position/credible/roussos_2024/variant_figures/roussos_2024.adolescence.Astrocyte/rs552556_count_position.png",4,220,900)</f>
        <v/>
      </c>
      <c r="T3493">
        <f>IMAGE("https://mitra.stanford.edu/kundaje/oak/projects/neuro-variants/variant_position/credible/roussos_2024/variant_figures/roussos_2024.adolescence.Astrocyte/rs552556_profile_position.png",4,220,900)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-0.0520924525999999</v>
      </c>
      <c r="G3494" t="n">
        <v>0.2783035916109231</v>
      </c>
      <c r="H3494" t="n">
        <v>0.0208114594501948</v>
      </c>
      <c r="I3494" t="n">
        <v>0.1200258573784402</v>
      </c>
      <c r="J3494" t="n">
        <v>0.0032949589057353</v>
      </c>
      <c r="K3494" t="n">
        <v>0.7964860139412563</v>
      </c>
      <c r="L3494" t="b">
        <v>0</v>
      </c>
      <c r="M3494" t="b">
        <v>0</v>
      </c>
      <c r="N3494" t="inlineStr">
        <is>
          <t>ref</t>
        </is>
      </c>
      <c r="O3494" t="n">
        <v>-100</v>
      </c>
      <c r="P3494" t="n">
        <v>0.00385</v>
      </c>
      <c r="Q3494" t="n">
        <v>-75</v>
      </c>
      <c r="R3494" t="n">
        <v>0.1754</v>
      </c>
      <c r="S3494">
        <f>IMAGE("https://mitra.stanford.edu/kundaje/oak/projects/neuro-variants/variant_position/credible/roussos_2024/variant_figures/roussos_2024.adolescence.Astrocyte/rs2118660_count_position.png",4,220,900)</f>
        <v/>
      </c>
      <c r="T3494">
        <f>IMAGE("https://mitra.stanford.edu/kundaje/oak/projects/neuro-variants/variant_position/credible/roussos_2024/variant_figures/roussos_2024.adolescence.Astrocyte/rs2118660_profile_position.png",4,220,900)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-0.0046268802</v>
      </c>
      <c r="G3495" t="n">
        <v>0.7503289176168497</v>
      </c>
      <c r="H3495" t="n">
        <v>0.019169866286763</v>
      </c>
      <c r="I3495" t="n">
        <v>0.1558669198566534</v>
      </c>
      <c r="J3495" t="n">
        <v>0.0123809453164406</v>
      </c>
      <c r="K3495" t="n">
        <v>0.6412781253094395</v>
      </c>
      <c r="L3495" t="b">
        <v>0</v>
      </c>
      <c r="M3495" t="b">
        <v>0</v>
      </c>
      <c r="N3495" t="inlineStr">
        <is>
          <t>ref</t>
        </is>
      </c>
      <c r="O3495" t="n">
        <v>-35</v>
      </c>
      <c r="P3495" t="n">
        <v>0.03824</v>
      </c>
      <c r="Q3495" t="n">
        <v>-50</v>
      </c>
      <c r="R3495" t="n">
        <v>0.12085</v>
      </c>
      <c r="S3495">
        <f>IMAGE("https://mitra.stanford.edu/kundaje/oak/projects/neuro-variants/variant_position/credible/roussos_2024/variant_figures/roussos_2024.adolescence.Astrocyte/rs2560047_count_position.png",4,220,900)</f>
        <v/>
      </c>
      <c r="T3495">
        <f>IMAGE("https://mitra.stanford.edu/kundaje/oak/projects/neuro-variants/variant_position/credible/roussos_2024/variant_figures/roussos_2024.adolescence.Astrocyte/rs2560047_profile_position.png",4,220,900)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-0.062870937</v>
      </c>
      <c r="G3496" t="n">
        <v>0.2015739042366492</v>
      </c>
      <c r="H3496" t="n">
        <v>0.0131174172042982</v>
      </c>
      <c r="I3496" t="n">
        <v>0.4531141816455644</v>
      </c>
      <c r="J3496" t="n">
        <v>0.2053563480995756</v>
      </c>
      <c r="K3496" t="n">
        <v>0.1975940954511668</v>
      </c>
      <c r="L3496" t="b">
        <v>0</v>
      </c>
      <c r="M3496" t="b">
        <v>0</v>
      </c>
      <c r="N3496" t="inlineStr">
        <is>
          <t>ref</t>
        </is>
      </c>
      <c r="O3496" t="n">
        <v>75</v>
      </c>
      <c r="P3496" t="n">
        <v>0.02325</v>
      </c>
      <c r="Q3496" t="n">
        <v>100</v>
      </c>
      <c r="R3496" t="n">
        <v>0.03857</v>
      </c>
      <c r="S3496">
        <f>IMAGE("https://mitra.stanford.edu/kundaje/oak/projects/neuro-variants/variant_position/credible/roussos_2024/variant_figures/roussos_2024.adolescence.Astrocyte/rs10038905_count_position.png",4,220,900)</f>
        <v/>
      </c>
      <c r="T3496">
        <f>IMAGE("https://mitra.stanford.edu/kundaje/oak/projects/neuro-variants/variant_position/credible/roussos_2024/variant_figures/roussos_2024.adolescence.Astrocyte/rs10038905_profile_position.png",4,220,900)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-0.048907146</v>
      </c>
      <c r="G3497" t="n">
        <v>0.252091847298191</v>
      </c>
      <c r="H3497" t="n">
        <v>0.008829886537219601</v>
      </c>
      <c r="I3497" t="n">
        <v>0.8355909833908481</v>
      </c>
      <c r="J3497" t="n">
        <v>0.0404496632347268</v>
      </c>
      <c r="K3497" t="n">
        <v>0.4906921197919226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0.02081</v>
      </c>
      <c r="Q3497" t="n">
        <v>100</v>
      </c>
      <c r="R3497" t="n">
        <v>0.3584</v>
      </c>
      <c r="S3497">
        <f>IMAGE("https://mitra.stanford.edu/kundaje/oak/projects/neuro-variants/variant_position/credible/roussos_2024/variant_figures/roussos_2024.adolescence.Astrocyte/rs2578375_count_position.png",4,220,900)</f>
        <v/>
      </c>
      <c r="T3497">
        <f>IMAGE("https://mitra.stanford.edu/kundaje/oak/projects/neuro-variants/variant_position/credible/roussos_2024/variant_figures/roussos_2024.adolescence.Astrocyte/rs2578375_profile_position.png",4,220,900)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-0.0495608937999999</v>
      </c>
      <c r="G3498" t="n">
        <v>0.2649270710084782</v>
      </c>
      <c r="H3498" t="n">
        <v>0.0162680943133658</v>
      </c>
      <c r="I3498" t="n">
        <v>0.2564472774977794</v>
      </c>
      <c r="J3498" t="n">
        <v>0.0559186125864166</v>
      </c>
      <c r="K3498" t="n">
        <v>0.4442528946870691</v>
      </c>
      <c r="L3498" t="b">
        <v>0</v>
      </c>
      <c r="M3498" t="b">
        <v>0</v>
      </c>
      <c r="N3498" t="inlineStr">
        <is>
          <t>ref</t>
        </is>
      </c>
      <c r="O3498" t="n">
        <v>10</v>
      </c>
      <c r="P3498" t="n">
        <v>0.0009537</v>
      </c>
      <c r="Q3498" t="n">
        <v>-70</v>
      </c>
      <c r="R3498" t="n">
        <v>0.05322</v>
      </c>
      <c r="S3498">
        <f>IMAGE("https://mitra.stanford.edu/kundaje/oak/projects/neuro-variants/variant_position/credible/roussos_2024/variant_figures/roussos_2024.adolescence.Astrocyte/rs2578376_count_position.png",4,220,900)</f>
        <v/>
      </c>
      <c r="T3498">
        <f>IMAGE("https://mitra.stanford.edu/kundaje/oak/projects/neuro-variants/variant_position/credible/roussos_2024/variant_figures/roussos_2024.adolescence.Astrocyte/rs2578376_profile_position.png",4,220,900)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-0.0180721079</v>
      </c>
      <c r="G3499" t="n">
        <v>0.6024179646063041</v>
      </c>
      <c r="H3499" t="n">
        <v>0.026645733409644</v>
      </c>
      <c r="I3499" t="n">
        <v>0.0502087645594218</v>
      </c>
      <c r="J3499" t="n">
        <v>0.0012187342373082</v>
      </c>
      <c r="K3499" t="n">
        <v>0.8641719694413776</v>
      </c>
      <c r="L3499" t="b">
        <v>0</v>
      </c>
      <c r="M3499" t="b">
        <v>0</v>
      </c>
      <c r="N3499" t="inlineStr">
        <is>
          <t>ref</t>
        </is>
      </c>
      <c r="O3499" t="n">
        <v>-20</v>
      </c>
      <c r="P3499" t="n">
        <v>0.003357</v>
      </c>
      <c r="Q3499" t="n">
        <v>-20</v>
      </c>
      <c r="R3499" t="n">
        <v>0.03534</v>
      </c>
      <c r="S3499">
        <f>IMAGE("https://mitra.stanford.edu/kundaje/oak/projects/neuro-variants/variant_position/credible/roussos_2024/variant_figures/roussos_2024.adolescence.Astrocyte/rs567749_count_position.png",4,220,900)</f>
        <v/>
      </c>
      <c r="T3499">
        <f>IMAGE("https://mitra.stanford.edu/kundaje/oak/projects/neuro-variants/variant_position/credible/roussos_2024/variant_figures/roussos_2024.adolescence.Astrocyte/rs567749_profile_position.png",4,220,900)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0.0174417834</v>
      </c>
      <c r="G3500" t="n">
        <v>0.5905374870839614</v>
      </c>
      <c r="H3500" t="n">
        <v>0.0143811533536577</v>
      </c>
      <c r="I3500" t="n">
        <v>0.3623240551652462</v>
      </c>
      <c r="J3500" t="n">
        <v>0.0336045752603625</v>
      </c>
      <c r="K3500" t="n">
        <v>0.50319700103007</v>
      </c>
      <c r="L3500" t="b">
        <v>0</v>
      </c>
      <c r="M3500" t="b">
        <v>0</v>
      </c>
      <c r="N3500" t="inlineStr">
        <is>
          <t>alt</t>
        </is>
      </c>
      <c r="O3500" t="n">
        <v>-40</v>
      </c>
      <c r="P3500" t="n">
        <v>0.001823</v>
      </c>
      <c r="Q3500" t="n">
        <v>-60</v>
      </c>
      <c r="R3500" t="n">
        <v>0.0387</v>
      </c>
      <c r="S3500">
        <f>IMAGE("https://mitra.stanford.edu/kundaje/oak/projects/neuro-variants/variant_position/credible/roussos_2024/variant_figures/roussos_2024.adolescence.Astrocyte/rs411245_count_position.png",4,220,900)</f>
        <v/>
      </c>
      <c r="T3500">
        <f>IMAGE("https://mitra.stanford.edu/kundaje/oak/projects/neuro-variants/variant_position/credible/roussos_2024/variant_figures/roussos_2024.adolescence.Astrocyte/rs411245_profile_position.png",4,220,900)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-0.0361929431999999</v>
      </c>
      <c r="G3501" t="n">
        <v>0.3095658249947692</v>
      </c>
      <c r="H3501" t="n">
        <v>0.0112830208485772</v>
      </c>
      <c r="I3501" t="n">
        <v>0.6322500399609677</v>
      </c>
      <c r="J3501" t="n">
        <v>0.011100643859597</v>
      </c>
      <c r="K3501" t="n">
        <v>0.6470431199835465</v>
      </c>
      <c r="L3501" t="b">
        <v>0</v>
      </c>
      <c r="M3501" t="b">
        <v>0</v>
      </c>
      <c r="N3501" t="inlineStr">
        <is>
          <t>ref</t>
        </is>
      </c>
      <c r="O3501" t="n">
        <v>-75</v>
      </c>
      <c r="P3501" t="n">
        <v>0.012634</v>
      </c>
      <c r="Q3501" t="n">
        <v>-35</v>
      </c>
      <c r="R3501" t="n">
        <v>0.1624</v>
      </c>
      <c r="S3501">
        <f>IMAGE("https://mitra.stanford.edu/kundaje/oak/projects/neuro-variants/variant_position/credible/roussos_2024/variant_figures/roussos_2024.adolescence.Astrocyte/rs1438590_count_position.png",4,220,900)</f>
        <v/>
      </c>
      <c r="T3501">
        <f>IMAGE("https://mitra.stanford.edu/kundaje/oak/projects/neuro-variants/variant_position/credible/roussos_2024/variant_figures/roussos_2024.adolescence.Astrocyte/rs1438590_profile_position.png",4,220,900)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0.080522186</v>
      </c>
      <c r="G3502" t="n">
        <v>0.1092559279034061</v>
      </c>
      <c r="H3502" t="n">
        <v>0.0214854120333152</v>
      </c>
      <c r="I3502" t="n">
        <v>0.1078115269270694</v>
      </c>
      <c r="J3502" t="n">
        <v>0.6259754324540843</v>
      </c>
      <c r="K3502" t="n">
        <v>0.0290496615125985</v>
      </c>
      <c r="L3502" t="b">
        <v>0</v>
      </c>
      <c r="M3502" t="b">
        <v>0</v>
      </c>
      <c r="N3502" t="inlineStr">
        <is>
          <t>alt</t>
        </is>
      </c>
      <c r="O3502" t="n">
        <v>100</v>
      </c>
      <c r="P3502" t="n">
        <v>0.00659</v>
      </c>
      <c r="Q3502" t="n">
        <v>10</v>
      </c>
      <c r="R3502" t="n">
        <v>0.02734</v>
      </c>
      <c r="S3502">
        <f>IMAGE("https://mitra.stanford.edu/kundaje/oak/projects/neuro-variants/variant_position/credible/roussos_2024/variant_figures/roussos_2024.adolescence.Astrocyte/rs816028_count_position.png",4,220,900)</f>
        <v/>
      </c>
      <c r="T3502">
        <f>IMAGE("https://mitra.stanford.edu/kundaje/oak/projects/neuro-variants/variant_position/credible/roussos_2024/variant_figures/roussos_2024.adolescence.Astrocyte/rs816028_profile_position.png",4,220,900)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0.035784451</v>
      </c>
      <c r="G3503" t="n">
        <v>0.3117093541636224</v>
      </c>
      <c r="H3503" t="n">
        <v>0.0117994636970399</v>
      </c>
      <c r="I3503" t="n">
        <v>0.5706482434599128</v>
      </c>
      <c r="J3503" t="n">
        <v>0.0446555202800937</v>
      </c>
      <c r="K3503" t="n">
        <v>0.467889197943606</v>
      </c>
      <c r="L3503" t="b">
        <v>0</v>
      </c>
      <c r="M3503" t="b">
        <v>0</v>
      </c>
      <c r="N3503" t="inlineStr">
        <is>
          <t>alt</t>
        </is>
      </c>
      <c r="O3503" t="n">
        <v>-100</v>
      </c>
      <c r="P3503" t="n">
        <v>0.00419</v>
      </c>
      <c r="Q3503" t="n">
        <v>45</v>
      </c>
      <c r="R3503" t="n">
        <v>0.1144</v>
      </c>
      <c r="S3503">
        <f>IMAGE("https://mitra.stanford.edu/kundaje/oak/projects/neuro-variants/variant_position/credible/roussos_2024/variant_figures/roussos_2024.adolescence.Astrocyte/rs1478350_count_position.png",4,220,900)</f>
        <v/>
      </c>
      <c r="T3503">
        <f>IMAGE("https://mitra.stanford.edu/kundaje/oak/projects/neuro-variants/variant_position/credible/roussos_2024/variant_figures/roussos_2024.adolescence.Astrocyte/rs1478350_profile_position.png",4,220,900)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0.0634382674</v>
      </c>
      <c r="G3504" t="n">
        <v>0.1780823797474563</v>
      </c>
      <c r="H3504" t="n">
        <v>0.0135723005832191</v>
      </c>
      <c r="I3504" t="n">
        <v>0.4198747033187483</v>
      </c>
      <c r="J3504" t="n">
        <v>0.050074177372934</v>
      </c>
      <c r="K3504" t="n">
        <v>0.4573998700157358</v>
      </c>
      <c r="L3504" t="b">
        <v>0</v>
      </c>
      <c r="M3504" t="b">
        <v>0</v>
      </c>
      <c r="N3504" t="inlineStr">
        <is>
          <t>alt</t>
        </is>
      </c>
      <c r="O3504" t="n">
        <v>-40</v>
      </c>
      <c r="P3504" t="n">
        <v>0.00656</v>
      </c>
      <c r="Q3504" t="n">
        <v>-55</v>
      </c>
      <c r="R3504" t="n">
        <v>0.1931</v>
      </c>
      <c r="S3504">
        <f>IMAGE("https://mitra.stanford.edu/kundaje/oak/projects/neuro-variants/variant_position/credible/roussos_2024/variant_figures/roussos_2024.adolescence.Astrocyte/rs816009_count_position.png",4,220,900)</f>
        <v/>
      </c>
      <c r="T3504">
        <f>IMAGE("https://mitra.stanford.edu/kundaje/oak/projects/neuro-variants/variant_position/credible/roussos_2024/variant_figures/roussos_2024.adolescence.Astrocyte/rs816009_profile_position.png",4,220,900)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-0.0387691164</v>
      </c>
      <c r="G3505" t="n">
        <v>0.2803072396474753</v>
      </c>
      <c r="H3505" t="n">
        <v>0.0188769309395397</v>
      </c>
      <c r="I3505" t="n">
        <v>0.1651081866811515</v>
      </c>
      <c r="J3505" t="n">
        <v>0.003930658991781</v>
      </c>
      <c r="K3505" t="n">
        <v>0.7853332133643781</v>
      </c>
      <c r="L3505" t="b">
        <v>0</v>
      </c>
      <c r="M3505" t="b">
        <v>0</v>
      </c>
      <c r="N3505" t="inlineStr">
        <is>
          <t>ref</t>
        </is>
      </c>
      <c r="O3505" t="n">
        <v>5</v>
      </c>
      <c r="P3505" t="n">
        <v>0.0007224</v>
      </c>
      <c r="Q3505" t="n">
        <v>-90</v>
      </c>
      <c r="R3505" t="n">
        <v>0.04016</v>
      </c>
      <c r="S3505">
        <f>IMAGE("https://mitra.stanford.edu/kundaje/oak/projects/neuro-variants/variant_position/credible/roussos_2024/variant_figures/roussos_2024.adolescence.Astrocyte/rs816010_count_position.png",4,220,900)</f>
        <v/>
      </c>
      <c r="T3505">
        <f>IMAGE("https://mitra.stanford.edu/kundaje/oak/projects/neuro-variants/variant_position/credible/roussos_2024/variant_figures/roussos_2024.adolescence.Astrocyte/rs816010_profile_position.png",4,220,900)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-0.0148461594</v>
      </c>
      <c r="G3506" t="n">
        <v>0.6413132729913107</v>
      </c>
      <c r="H3506" t="n">
        <v>0.0082062189442254</v>
      </c>
      <c r="I3506" t="n">
        <v>0.9186542019089986</v>
      </c>
      <c r="J3506" t="n">
        <v>0.1260993086668841</v>
      </c>
      <c r="K3506" t="n">
        <v>0.2870174561817524</v>
      </c>
      <c r="L3506" t="b">
        <v>0</v>
      </c>
      <c r="M3506" t="b">
        <v>0</v>
      </c>
      <c r="N3506" t="inlineStr">
        <is>
          <t>ref</t>
        </is>
      </c>
      <c r="O3506" t="n">
        <v>50</v>
      </c>
      <c r="P3506" t="n">
        <v>0.00594</v>
      </c>
      <c r="Q3506" t="n">
        <v>-85</v>
      </c>
      <c r="R3506" t="n">
        <v>0.1272</v>
      </c>
      <c r="S3506">
        <f>IMAGE("https://mitra.stanford.edu/kundaje/oak/projects/neuro-variants/variant_position/credible/roussos_2024/variant_figures/roussos_2024.adolescence.Astrocyte/rs816012_count_position.png",4,220,900)</f>
        <v/>
      </c>
      <c r="T3506">
        <f>IMAGE("https://mitra.stanford.edu/kundaje/oak/projects/neuro-variants/variant_position/credible/roussos_2024/variant_figures/roussos_2024.adolescence.Astrocyte/rs816012_profile_position.png",4,220,900)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-0.0120751738</v>
      </c>
      <c r="G3507" t="n">
        <v>0.7068777507625382</v>
      </c>
      <c r="H3507" t="n">
        <v>0.0115693410968611</v>
      </c>
      <c r="I3507" t="n">
        <v>0.600556046895644</v>
      </c>
      <c r="J3507" t="n">
        <v>0.0958149126190546</v>
      </c>
      <c r="K3507" t="n">
        <v>0.3353187100944501</v>
      </c>
      <c r="L3507" t="b">
        <v>0</v>
      </c>
      <c r="M3507" t="b">
        <v>0</v>
      </c>
      <c r="N3507" t="inlineStr">
        <is>
          <t>ref</t>
        </is>
      </c>
      <c r="O3507" t="n">
        <v>-45</v>
      </c>
      <c r="P3507" t="n">
        <v>0.02278</v>
      </c>
      <c r="Q3507" t="n">
        <v>-75</v>
      </c>
      <c r="R3507" t="n">
        <v>0.184</v>
      </c>
      <c r="S3507">
        <f>IMAGE("https://mitra.stanford.edu/kundaje/oak/projects/neuro-variants/variant_position/credible/roussos_2024/variant_figures/roussos_2024.adolescence.Astrocyte/rs4958355_count_position.png",4,220,900)</f>
        <v/>
      </c>
      <c r="T3507">
        <f>IMAGE("https://mitra.stanford.edu/kundaje/oak/projects/neuro-variants/variant_position/credible/roussos_2024/variant_figures/roussos_2024.adolescence.Astrocyte/rs4958355_profile_position.png",4,220,900)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0.01294932654</v>
      </c>
      <c r="G3508" t="n">
        <v>0.6494600020292581</v>
      </c>
      <c r="H3508" t="n">
        <v>0.0106850615232574</v>
      </c>
      <c r="I3508" t="n">
        <v>0.6824815707090465</v>
      </c>
      <c r="J3508" t="n">
        <v>0.0013129395009345</v>
      </c>
      <c r="K3508" t="n">
        <v>0.8733202149474293</v>
      </c>
      <c r="L3508" t="b">
        <v>0</v>
      </c>
      <c r="M3508" t="b">
        <v>0</v>
      </c>
      <c r="N3508" t="inlineStr">
        <is>
          <t>alt</t>
        </is>
      </c>
      <c r="O3508" t="n">
        <v>-100</v>
      </c>
      <c r="P3508" t="n">
        <v>0.00586</v>
      </c>
      <c r="Q3508" t="n">
        <v>60</v>
      </c>
      <c r="R3508" t="n">
        <v>0.0551</v>
      </c>
      <c r="S3508">
        <f>IMAGE("https://mitra.stanford.edu/kundaje/oak/projects/neuro-variants/variant_position/credible/roussos_2024/variant_figures/roussos_2024.adolescence.Astrocyte/rs815620_count_position.png",4,220,900)</f>
        <v/>
      </c>
      <c r="T3508">
        <f>IMAGE("https://mitra.stanford.edu/kundaje/oak/projects/neuro-variants/variant_position/credible/roussos_2024/variant_figures/roussos_2024.adolescence.Astrocyte/rs815620_profile_position.png",4,220,900)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0.227392135</v>
      </c>
      <c r="G3509" t="n">
        <v>0.014468120307538</v>
      </c>
      <c r="H3509" t="n">
        <v>0.023184378395269</v>
      </c>
      <c r="I3509" t="n">
        <v>0.0857569164825769</v>
      </c>
      <c r="J3509" t="n">
        <v>0.3677862504821528</v>
      </c>
      <c r="K3509" t="n">
        <v>0.1008351634194509</v>
      </c>
      <c r="L3509" t="b">
        <v>1</v>
      </c>
      <c r="M3509" t="b">
        <v>0</v>
      </c>
      <c r="N3509" t="inlineStr">
        <is>
          <t>alt</t>
        </is>
      </c>
      <c r="O3509" t="n">
        <v>90</v>
      </c>
      <c r="P3509" t="n">
        <v>0.09607</v>
      </c>
      <c r="Q3509" t="n">
        <v>-15</v>
      </c>
      <c r="R3509" t="n">
        <v>0.0796</v>
      </c>
      <c r="S3509">
        <f>IMAGE("https://mitra.stanford.edu/kundaje/oak/projects/neuro-variants/variant_position/credible/roussos_2024/variant_figures/roussos_2024.adolescence.Astrocyte/rs890799_count_position.png",4,220,900)</f>
        <v/>
      </c>
      <c r="T3509">
        <f>IMAGE("https://mitra.stanford.edu/kundaje/oak/projects/neuro-variants/variant_position/credible/roussos_2024/variant_figures/roussos_2024.adolescence.Astrocyte/rs890799_profile_position.png",4,220,900)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0.0172445724</v>
      </c>
      <c r="G3510" t="n">
        <v>0.5211766730171421</v>
      </c>
      <c r="H3510" t="n">
        <v>0.011937535183346</v>
      </c>
      <c r="I3510" t="n">
        <v>0.5597875930300037</v>
      </c>
      <c r="J3510" t="n">
        <v>0.1290916238910482</v>
      </c>
      <c r="K3510" t="n">
        <v>0.2814774232341794</v>
      </c>
      <c r="L3510" t="b">
        <v>0</v>
      </c>
      <c r="M3510" t="b">
        <v>0</v>
      </c>
      <c r="N3510" t="inlineStr">
        <is>
          <t>alt</t>
        </is>
      </c>
      <c r="O3510" t="n">
        <v>60</v>
      </c>
      <c r="P3510" t="n">
        <v>0.0001354</v>
      </c>
      <c r="Q3510" t="n">
        <v>-100</v>
      </c>
      <c r="R3510" t="n">
        <v>0.06094</v>
      </c>
      <c r="S3510">
        <f>IMAGE("https://mitra.stanford.edu/kundaje/oak/projects/neuro-variants/variant_position/credible/roussos_2024/variant_figures/roussos_2024.adolescence.Astrocyte/rs6580052_count_position.png",4,220,900)</f>
        <v/>
      </c>
      <c r="T3510">
        <f>IMAGE("https://mitra.stanford.edu/kundaje/oak/projects/neuro-variants/variant_position/credible/roussos_2024/variant_figures/roussos_2024.adolescence.Astrocyte/rs6580052_profile_position.png",4,220,900)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-0.09879417660000001</v>
      </c>
      <c r="G3511" t="n">
        <v>0.0847433023790672</v>
      </c>
      <c r="H3511" t="n">
        <v>0.0166984242682574</v>
      </c>
      <c r="I3511" t="n">
        <v>0.2491706111667925</v>
      </c>
      <c r="J3511" t="n">
        <v>0.0077389253182208</v>
      </c>
      <c r="K3511" t="n">
        <v>0.7244741873055003</v>
      </c>
      <c r="L3511" t="b">
        <v>0</v>
      </c>
      <c r="M3511" t="b">
        <v>0</v>
      </c>
      <c r="N3511" t="inlineStr">
        <is>
          <t>ref</t>
        </is>
      </c>
      <c r="O3511" t="n">
        <v>95</v>
      </c>
      <c r="P3511" t="n">
        <v>0.001053</v>
      </c>
      <c r="Q3511" t="n">
        <v>-95</v>
      </c>
      <c r="R3511" t="n">
        <v>0.112</v>
      </c>
      <c r="S3511">
        <f>IMAGE("https://mitra.stanford.edu/kundaje/oak/projects/neuro-variants/variant_position/credible/roussos_2024/variant_figures/roussos_2024.adolescence.Astrocyte/rs1428122_count_position.png",4,220,900)</f>
        <v/>
      </c>
      <c r="T3511">
        <f>IMAGE("https://mitra.stanford.edu/kundaje/oak/projects/neuro-variants/variant_position/credible/roussos_2024/variant_figures/roussos_2024.adolescence.Astrocyte/rs1428122_profile_position.png",4,220,900)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0.144152536</v>
      </c>
      <c r="G3512" t="n">
        <v>0.0414931710649005</v>
      </c>
      <c r="H3512" t="n">
        <v>0.0268046520278041</v>
      </c>
      <c r="I3512" t="n">
        <v>0.0506544804127392</v>
      </c>
      <c r="J3512" t="n">
        <v>0.1676749844227516</v>
      </c>
      <c r="K3512" t="n">
        <v>0.2371807755669588</v>
      </c>
      <c r="L3512" t="b">
        <v>0</v>
      </c>
      <c r="M3512" t="b">
        <v>0</v>
      </c>
      <c r="N3512" t="inlineStr">
        <is>
          <t>alt</t>
        </is>
      </c>
      <c r="O3512" t="n">
        <v>10</v>
      </c>
      <c r="P3512" t="n">
        <v>0.002502</v>
      </c>
      <c r="Q3512" t="n">
        <v>10</v>
      </c>
      <c r="R3512" t="n">
        <v>0.02539</v>
      </c>
      <c r="S3512">
        <f>IMAGE("https://mitra.stanford.edu/kundaje/oak/projects/neuro-variants/variant_position/credible/roussos_2024/variant_figures/roussos_2024.adolescence.Astrocyte/rs77075605_count_position.png",4,220,900)</f>
        <v/>
      </c>
      <c r="T3512">
        <f>IMAGE("https://mitra.stanford.edu/kundaje/oak/projects/neuro-variants/variant_position/credible/roussos_2024/variant_figures/roussos_2024.adolescence.Astrocyte/rs77075605_profile_position.png",4,220,900)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-0.1697686468</v>
      </c>
      <c r="G3513" t="n">
        <v>0.0313991052832747</v>
      </c>
      <c r="H3513" t="n">
        <v>0.029471327550499</v>
      </c>
      <c r="I3513" t="n">
        <v>0.0348879800690427</v>
      </c>
      <c r="J3513" t="n">
        <v>0.366726997596653</v>
      </c>
      <c r="K3513" t="n">
        <v>0.1017851917743104</v>
      </c>
      <c r="L3513" t="b">
        <v>0</v>
      </c>
      <c r="M3513" t="b">
        <v>0</v>
      </c>
      <c r="N3513" t="inlineStr">
        <is>
          <t>ref</t>
        </is>
      </c>
      <c r="O3513" t="n">
        <v>45</v>
      </c>
      <c r="P3513" t="n">
        <v>0.002335</v>
      </c>
      <c r="Q3513" t="n">
        <v>45</v>
      </c>
      <c r="R3513" t="n">
        <v>0.1035</v>
      </c>
      <c r="S3513">
        <f>IMAGE("https://mitra.stanford.edu/kundaje/oak/projects/neuro-variants/variant_position/credible/roussos_2024/variant_figures/roussos_2024.adolescence.Astrocyte/rs80336253_count_position.png",4,220,900)</f>
        <v/>
      </c>
      <c r="T3513">
        <f>IMAGE("https://mitra.stanford.edu/kundaje/oak/projects/neuro-variants/variant_position/credible/roussos_2024/variant_figures/roussos_2024.adolescence.Astrocyte/rs80336253_profile_position.png",4,220,900)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0.02055014928</v>
      </c>
      <c r="G3514" t="n">
        <v>0.4960834717558687</v>
      </c>
      <c r="H3514" t="n">
        <v>0.0076068599087044</v>
      </c>
      <c r="I3514" t="n">
        <v>0.9421571903672118</v>
      </c>
      <c r="J3514" t="n">
        <v>0.1429286710381865</v>
      </c>
      <c r="K3514" t="n">
        <v>0.2601102004474491</v>
      </c>
      <c r="L3514" t="b">
        <v>0</v>
      </c>
      <c r="M3514" t="b">
        <v>0</v>
      </c>
      <c r="N3514" t="inlineStr">
        <is>
          <t>alt</t>
        </is>
      </c>
      <c r="O3514" t="n">
        <v>30</v>
      </c>
      <c r="P3514" t="n">
        <v>0.01094</v>
      </c>
      <c r="Q3514" t="n">
        <v>10</v>
      </c>
      <c r="R3514" t="n">
        <v>0.004272</v>
      </c>
      <c r="S3514">
        <f>IMAGE("https://mitra.stanford.edu/kundaje/oak/projects/neuro-variants/variant_position/credible/roussos_2024/variant_figures/roussos_2024.adolescence.Astrocyte/rs73802964_count_position.png",4,220,900)</f>
        <v/>
      </c>
      <c r="T3514">
        <f>IMAGE("https://mitra.stanford.edu/kundaje/oak/projects/neuro-variants/variant_position/credible/roussos_2024/variant_figures/roussos_2024.adolescence.Astrocyte/rs73802964_profile_position.png",4,220,900)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-0.0192968696</v>
      </c>
      <c r="G3515" t="n">
        <v>0.5503011202368236</v>
      </c>
      <c r="H3515" t="n">
        <v>0.0092162402789967</v>
      </c>
      <c r="I3515" t="n">
        <v>0.8156063230224452</v>
      </c>
      <c r="J3515" t="n">
        <v>0.0040842061537548</v>
      </c>
      <c r="K3515" t="n">
        <v>0.7542667829715397</v>
      </c>
      <c r="L3515" t="b">
        <v>0</v>
      </c>
      <c r="M3515" t="b">
        <v>0</v>
      </c>
      <c r="N3515" t="inlineStr">
        <is>
          <t>ref</t>
        </is>
      </c>
      <c r="O3515" t="n">
        <v>0</v>
      </c>
      <c r="P3515" t="n">
        <v>0</v>
      </c>
      <c r="Q3515" t="n">
        <v>-30</v>
      </c>
      <c r="R3515" t="n">
        <v>0.0467</v>
      </c>
      <c r="S3515">
        <f>IMAGE("https://mitra.stanford.edu/kundaje/oak/projects/neuro-variants/variant_position/credible/roussos_2024/variant_figures/roussos_2024.adolescence.Astrocyte/rs73802970_count_position.png",4,220,900)</f>
        <v/>
      </c>
      <c r="T3515">
        <f>IMAGE("https://mitra.stanford.edu/kundaje/oak/projects/neuro-variants/variant_position/credible/roussos_2024/variant_figures/roussos_2024.adolescence.Astrocyte/rs73802970_profile_position.png",4,220,900)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0.0539929346</v>
      </c>
      <c r="G3516" t="n">
        <v>0.2131486754681508</v>
      </c>
      <c r="H3516" t="n">
        <v>0.039166584190274</v>
      </c>
      <c r="I3516" t="n">
        <v>0.0103947486897047</v>
      </c>
      <c r="J3516" t="n">
        <v>0.0728599827908494</v>
      </c>
      <c r="K3516" t="n">
        <v>0.3771735968184209</v>
      </c>
      <c r="L3516" t="b">
        <v>1</v>
      </c>
      <c r="M3516" t="b">
        <v>0</v>
      </c>
      <c r="N3516" t="inlineStr">
        <is>
          <t>alt</t>
        </is>
      </c>
      <c r="O3516" t="n">
        <v>-100</v>
      </c>
      <c r="P3516" t="n">
        <v>0.2351</v>
      </c>
      <c r="Q3516" t="n">
        <v>85</v>
      </c>
      <c r="R3516" t="n">
        <v>0.07543999999999999</v>
      </c>
      <c r="S3516">
        <f>IMAGE("https://mitra.stanford.edu/kundaje/oak/projects/neuro-variants/variant_position/credible/roussos_2024/variant_figures/roussos_2024.adolescence.Astrocyte/rs531293_count_position.png",4,220,900)</f>
        <v/>
      </c>
      <c r="T3516">
        <f>IMAGE("https://mitra.stanford.edu/kundaje/oak/projects/neuro-variants/variant_position/credible/roussos_2024/variant_figures/roussos_2024.adolescence.Astrocyte/rs531293_profile_position.png",4,220,900)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0.0037815954</v>
      </c>
      <c r="G3517" t="n">
        <v>0.231848478621819</v>
      </c>
      <c r="H3517" t="n">
        <v>0.0164230396923924</v>
      </c>
      <c r="I3517" t="n">
        <v>0.252928580460805</v>
      </c>
      <c r="J3517" t="n">
        <v>0.4018759457615049</v>
      </c>
      <c r="K3517" t="n">
        <v>0.0874678933519385</v>
      </c>
      <c r="L3517" t="b">
        <v>0</v>
      </c>
      <c r="M3517" t="b">
        <v>0</v>
      </c>
      <c r="N3517" t="inlineStr">
        <is>
          <t>alt</t>
        </is>
      </c>
      <c r="O3517" t="n">
        <v>100</v>
      </c>
      <c r="P3517" t="n">
        <v>0.02876</v>
      </c>
      <c r="Q3517" t="n">
        <v>30</v>
      </c>
      <c r="R3517" t="n">
        <v>0.249</v>
      </c>
      <c r="S3517">
        <f>IMAGE("https://mitra.stanford.edu/kundaje/oak/projects/neuro-variants/variant_position/credible/roussos_2024/variant_figures/roussos_2024.adolescence.Astrocyte/rs2434528_count_position.png",4,220,900)</f>
        <v/>
      </c>
      <c r="T3517">
        <f>IMAGE("https://mitra.stanford.edu/kundaje/oak/projects/neuro-variants/variant_position/credible/roussos_2024/variant_figures/roussos_2024.adolescence.Astrocyte/rs2434528_profile_position.png",4,220,900)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-0.0863869924</v>
      </c>
      <c r="G3518" t="n">
        <v>0.1256346821998311</v>
      </c>
      <c r="H3518" t="n">
        <v>0.0153105138716342</v>
      </c>
      <c r="I3518" t="n">
        <v>0.3121056442549187</v>
      </c>
      <c r="J3518" t="n">
        <v>0.0097817701688276</v>
      </c>
      <c r="K3518" t="n">
        <v>0.6734530466151766</v>
      </c>
      <c r="L3518" t="b">
        <v>0</v>
      </c>
      <c r="M3518" t="b">
        <v>0</v>
      </c>
      <c r="N3518" t="inlineStr">
        <is>
          <t>ref</t>
        </is>
      </c>
      <c r="O3518" t="n">
        <v>-70</v>
      </c>
      <c r="P3518" t="n">
        <v>0.002338</v>
      </c>
      <c r="Q3518" t="n">
        <v>10</v>
      </c>
      <c r="R3518" t="n">
        <v>0.06085</v>
      </c>
      <c r="S3518">
        <f>IMAGE("https://mitra.stanford.edu/kundaje/oak/projects/neuro-variants/variant_position/credible/roussos_2024/variant_figures/roussos_2024.adolescence.Astrocyte/rs2434535_count_position.png",4,220,900)</f>
        <v/>
      </c>
      <c r="T3518">
        <f>IMAGE("https://mitra.stanford.edu/kundaje/oak/projects/neuro-variants/variant_position/credible/roussos_2024/variant_figures/roussos_2024.adolescence.Astrocyte/rs2434535_profile_position.png",4,220,900)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-0.205184312</v>
      </c>
      <c r="G3519" t="n">
        <v>0.0221959265617719</v>
      </c>
      <c r="H3519" t="n">
        <v>0.0374830823662224</v>
      </c>
      <c r="I3519" t="n">
        <v>0.0164279813920342</v>
      </c>
      <c r="J3519" t="n">
        <v>0.0034039996439485</v>
      </c>
      <c r="K3519" t="n">
        <v>0.7853978071382749</v>
      </c>
      <c r="L3519" t="b">
        <v>0</v>
      </c>
      <c r="M3519" t="b">
        <v>0</v>
      </c>
      <c r="N3519" t="inlineStr">
        <is>
          <t>ref</t>
        </is>
      </c>
      <c r="O3519" t="n">
        <v>-100</v>
      </c>
      <c r="P3519" t="n">
        <v>0.00958</v>
      </c>
      <c r="Q3519" t="n">
        <v>80</v>
      </c>
      <c r="R3519" t="n">
        <v>0.03232</v>
      </c>
      <c r="S3519">
        <f>IMAGE("https://mitra.stanford.edu/kundaje/oak/projects/neuro-variants/variant_position/credible/roussos_2024/variant_figures/roussos_2024.adolescence.Astrocyte/rs693446_count_position.png",4,220,900)</f>
        <v/>
      </c>
      <c r="T3519">
        <f>IMAGE("https://mitra.stanford.edu/kundaje/oak/projects/neuro-variants/variant_position/credible/roussos_2024/variant_figures/roussos_2024.adolescence.Astrocyte/rs693446_profile_position.png",4,220,900)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-0.0623735916</v>
      </c>
      <c r="G3520" t="n">
        <v>0.2035594884631822</v>
      </c>
      <c r="H3520" t="n">
        <v>0.0131143078712863</v>
      </c>
      <c r="I3520" t="n">
        <v>0.4535104491603432</v>
      </c>
      <c r="J3520" t="n">
        <v>0.0137554520369106</v>
      </c>
      <c r="K3520" t="n">
        <v>0.6363842585353644</v>
      </c>
      <c r="L3520" t="b">
        <v>0</v>
      </c>
      <c r="M3520" t="b">
        <v>0</v>
      </c>
      <c r="N3520" t="inlineStr">
        <is>
          <t>ref</t>
        </is>
      </c>
      <c r="O3520" t="n">
        <v>-30</v>
      </c>
      <c r="P3520" t="n">
        <v>0.003166</v>
      </c>
      <c r="Q3520" t="n">
        <v>-95</v>
      </c>
      <c r="R3520" t="n">
        <v>0.04987</v>
      </c>
      <c r="S3520">
        <f>IMAGE("https://mitra.stanford.edu/kundaje/oak/projects/neuro-variants/variant_position/credible/roussos_2024/variant_figures/roussos_2024.adolescence.Astrocyte/rs73281462_count_position.png",4,220,900)</f>
        <v/>
      </c>
      <c r="T3520">
        <f>IMAGE("https://mitra.stanford.edu/kundaje/oak/projects/neuro-variants/variant_position/credible/roussos_2024/variant_figures/roussos_2024.adolescence.Astrocyte/rs73281462_profile_position.png",4,220,900)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0.00398424668</v>
      </c>
      <c r="G3521" t="n">
        <v>0.815680899131763</v>
      </c>
      <c r="H3521" t="n">
        <v>0.0166063926861475</v>
      </c>
      <c r="I3521" t="n">
        <v>0.2434736530867036</v>
      </c>
      <c r="J3521" t="n">
        <v>0.0456457882087647</v>
      </c>
      <c r="K3521" t="n">
        <v>0.4689445979520524</v>
      </c>
      <c r="L3521" t="b">
        <v>0</v>
      </c>
      <c r="M3521" t="b">
        <v>0</v>
      </c>
      <c r="N3521" t="inlineStr">
        <is>
          <t>alt</t>
        </is>
      </c>
      <c r="O3521" t="n">
        <v>90</v>
      </c>
      <c r="P3521" t="n">
        <v>0.012985</v>
      </c>
      <c r="Q3521" t="n">
        <v>90</v>
      </c>
      <c r="R3521" t="n">
        <v>0.15</v>
      </c>
      <c r="S3521">
        <f>IMAGE("https://mitra.stanford.edu/kundaje/oak/projects/neuro-variants/variant_position/credible/roussos_2024/variant_figures/roussos_2024.adolescence.Astrocyte/rs73281464_count_position.png",4,220,900)</f>
        <v/>
      </c>
      <c r="T3521">
        <f>IMAGE("https://mitra.stanford.edu/kundaje/oak/projects/neuro-variants/variant_position/credible/roussos_2024/variant_figures/roussos_2024.adolescence.Astrocyte/rs73281464_profile_position.png",4,220,900)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-0.02552546512</v>
      </c>
      <c r="G3522" t="n">
        <v>0.4582647300555471</v>
      </c>
      <c r="H3522" t="n">
        <v>0.0121848091998619</v>
      </c>
      <c r="I3522" t="n">
        <v>0.5324261777671712</v>
      </c>
      <c r="J3522" t="n">
        <v>0.0080831083286353</v>
      </c>
      <c r="K3522" t="n">
        <v>0.7122084120470692</v>
      </c>
      <c r="L3522" t="b">
        <v>0</v>
      </c>
      <c r="M3522" t="b">
        <v>0</v>
      </c>
      <c r="N3522" t="inlineStr">
        <is>
          <t>ref</t>
        </is>
      </c>
      <c r="O3522" t="n">
        <v>100</v>
      </c>
      <c r="P3522" t="n">
        <v>0.009560000000000001</v>
      </c>
      <c r="Q3522" t="n">
        <v>-50</v>
      </c>
      <c r="R3522" t="n">
        <v>0.1117</v>
      </c>
      <c r="S3522">
        <f>IMAGE("https://mitra.stanford.edu/kundaje/oak/projects/neuro-variants/variant_position/credible/roussos_2024/variant_figures/roussos_2024.adolescence.Astrocyte/rs73279685_count_position.png",4,220,900)</f>
        <v/>
      </c>
      <c r="T3522">
        <f>IMAGE("https://mitra.stanford.edu/kundaje/oak/projects/neuro-variants/variant_position/credible/roussos_2024/variant_figures/roussos_2024.adolescence.Astrocyte/rs73279685_profile_position.png",4,220,900)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0.0444868186</v>
      </c>
      <c r="G3523" t="n">
        <v>0.2646098769560269</v>
      </c>
      <c r="H3523" t="n">
        <v>0.0296115142387967</v>
      </c>
      <c r="I3523" t="n">
        <v>0.0329522388054085</v>
      </c>
      <c r="J3523" t="n">
        <v>0.0199470373557249</v>
      </c>
      <c r="K3523" t="n">
        <v>0.5822588002607572</v>
      </c>
      <c r="L3523" t="b">
        <v>0</v>
      </c>
      <c r="M3523" t="b">
        <v>0</v>
      </c>
      <c r="N3523" t="inlineStr">
        <is>
          <t>alt</t>
        </is>
      </c>
      <c r="O3523" t="n">
        <v>-100</v>
      </c>
      <c r="P3523" t="n">
        <v>0.00809</v>
      </c>
      <c r="Q3523" t="n">
        <v>-100</v>
      </c>
      <c r="R3523" t="n">
        <v>0.08434999999999999</v>
      </c>
      <c r="S3523">
        <f>IMAGE("https://mitra.stanford.edu/kundaje/oak/projects/neuro-variants/variant_position/credible/roussos_2024/variant_figures/roussos_2024.adolescence.Astrocyte/rs7702643_count_position.png",4,220,900)</f>
        <v/>
      </c>
      <c r="T3523">
        <f>IMAGE("https://mitra.stanford.edu/kundaje/oak/projects/neuro-variants/variant_position/credible/roussos_2024/variant_figures/roussos_2024.adolescence.Astrocyte/rs7702643_profile_position.png",4,220,900)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-0.090669995</v>
      </c>
      <c r="G3524" t="n">
        <v>0.1047910588204334</v>
      </c>
      <c r="H3524" t="n">
        <v>0.0159535795940784</v>
      </c>
      <c r="I3524" t="n">
        <v>0.2742569071001854</v>
      </c>
      <c r="J3524" t="n">
        <v>0.0178196302999732</v>
      </c>
      <c r="K3524" t="n">
        <v>0.6032128497057155</v>
      </c>
      <c r="L3524" t="b">
        <v>0</v>
      </c>
      <c r="M3524" t="b">
        <v>0</v>
      </c>
      <c r="N3524" t="inlineStr">
        <is>
          <t>ref</t>
        </is>
      </c>
      <c r="O3524" t="n">
        <v>-100</v>
      </c>
      <c r="P3524" t="n">
        <v>0.00953</v>
      </c>
      <c r="Q3524" t="n">
        <v>-80</v>
      </c>
      <c r="R3524" t="n">
        <v>0.01245</v>
      </c>
      <c r="S3524">
        <f>IMAGE("https://mitra.stanford.edu/kundaje/oak/projects/neuro-variants/variant_position/credible/roussos_2024/variant_figures/roussos_2024.adolescence.Astrocyte/rs6556578_count_position.png",4,220,900)</f>
        <v/>
      </c>
      <c r="T3524">
        <f>IMAGE("https://mitra.stanford.edu/kundaje/oak/projects/neuro-variants/variant_position/credible/roussos_2024/variant_figures/roussos_2024.adolescence.Astrocyte/rs6556578_profile_position.png",4,220,900)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0.204520114</v>
      </c>
      <c r="G3525" t="n">
        <v>0.0207466961596599</v>
      </c>
      <c r="H3525" t="n">
        <v>0.0246943677157955</v>
      </c>
      <c r="I3525" t="n">
        <v>0.0666376118854177</v>
      </c>
      <c r="J3525" t="n">
        <v>0.1635551731299884</v>
      </c>
      <c r="K3525" t="n">
        <v>0.2386875003139318</v>
      </c>
      <c r="L3525" t="b">
        <v>0</v>
      </c>
      <c r="M3525" t="b">
        <v>0</v>
      </c>
      <c r="N3525" t="inlineStr">
        <is>
          <t>alt</t>
        </is>
      </c>
      <c r="O3525" t="n">
        <v>-15</v>
      </c>
      <c r="P3525" t="n">
        <v>0.002304</v>
      </c>
      <c r="Q3525" t="n">
        <v>-15</v>
      </c>
      <c r="R3525" t="n">
        <v>0.03418</v>
      </c>
      <c r="S3525">
        <f>IMAGE("https://mitra.stanford.edu/kundaje/oak/projects/neuro-variants/variant_position/credible/roussos_2024/variant_figures/roussos_2024.adolescence.Astrocyte/rs10036164_count_position.png",4,220,900)</f>
        <v/>
      </c>
      <c r="T3525">
        <f>IMAGE("https://mitra.stanford.edu/kundaje/oak/projects/neuro-variants/variant_position/credible/roussos_2024/variant_figures/roussos_2024.adolescence.Astrocyte/rs10036164_profile_position.png",4,220,900)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-0.246799268</v>
      </c>
      <c r="G3526" t="n">
        <v>0.0105410058475849</v>
      </c>
      <c r="H3526" t="n">
        <v>0.0290450885013455</v>
      </c>
      <c r="I3526" t="n">
        <v>0.0355493531823135</v>
      </c>
      <c r="J3526" t="n">
        <v>0.1223926653413642</v>
      </c>
      <c r="K3526" t="n">
        <v>0.2942937658260641</v>
      </c>
      <c r="L3526" t="b">
        <v>1</v>
      </c>
      <c r="M3526" t="b">
        <v>0</v>
      </c>
      <c r="N3526" t="inlineStr">
        <is>
          <t>ref</t>
        </is>
      </c>
      <c r="O3526" t="n">
        <v>65</v>
      </c>
      <c r="P3526" t="n">
        <v>0.002703</v>
      </c>
      <c r="Q3526" t="n">
        <v>65</v>
      </c>
      <c r="R3526" t="n">
        <v>0.07715</v>
      </c>
      <c r="S3526">
        <f>IMAGE("https://mitra.stanford.edu/kundaje/oak/projects/neuro-variants/variant_position/credible/roussos_2024/variant_figures/roussos_2024.adolescence.Astrocyte/rs35414747_count_position.png",4,220,900)</f>
        <v/>
      </c>
      <c r="T3526">
        <f>IMAGE("https://mitra.stanford.edu/kundaje/oak/projects/neuro-variants/variant_position/credible/roussos_2024/variant_figures/roussos_2024.adolescence.Astrocyte/rs35414747_profile_position.png",4,220,900)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0.01132661358</v>
      </c>
      <c r="G3527" t="n">
        <v>0.6960113153859983</v>
      </c>
      <c r="H3527" t="n">
        <v>0.0243427460708677</v>
      </c>
      <c r="I3527" t="n">
        <v>0.06921219127735249</v>
      </c>
      <c r="J3527" t="n">
        <v>0.0159229148740467</v>
      </c>
      <c r="K3527" t="n">
        <v>0.6065767685275006</v>
      </c>
      <c r="L3527" t="b">
        <v>0</v>
      </c>
      <c r="M3527" t="b">
        <v>0</v>
      </c>
      <c r="N3527" t="inlineStr">
        <is>
          <t>alt</t>
        </is>
      </c>
      <c r="O3527" t="n">
        <v>-75</v>
      </c>
      <c r="P3527" t="n">
        <v>0.0303</v>
      </c>
      <c r="Q3527" t="n">
        <v>80</v>
      </c>
      <c r="R3527" t="n">
        <v>0.0941</v>
      </c>
      <c r="S3527">
        <f>IMAGE("https://mitra.stanford.edu/kundaje/oak/projects/neuro-variants/variant_position/credible/roussos_2024/variant_figures/roussos_2024.adolescence.Astrocyte/rs9367911_count_position.png",4,220,900)</f>
        <v/>
      </c>
      <c r="T3527">
        <f>IMAGE("https://mitra.stanford.edu/kundaje/oak/projects/neuro-variants/variant_position/credible/roussos_2024/variant_figures/roussos_2024.adolescence.Astrocyte/rs9367911_profile_position.png",4,220,900)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-0.09032607199999999</v>
      </c>
      <c r="G3528" t="n">
        <v>0.0954911626064001</v>
      </c>
      <c r="H3528" t="n">
        <v>0.0152001693070685</v>
      </c>
      <c r="I3528" t="n">
        <v>0.3137645748544798</v>
      </c>
      <c r="J3528" t="n">
        <v>0.6499206302109604</v>
      </c>
      <c r="K3528" t="n">
        <v>0.0248708913577188</v>
      </c>
      <c r="L3528" t="b">
        <v>0</v>
      </c>
      <c r="M3528" t="b">
        <v>0</v>
      </c>
      <c r="N3528" t="inlineStr">
        <is>
          <t>ref</t>
        </is>
      </c>
      <c r="O3528" t="n">
        <v>80</v>
      </c>
      <c r="P3528" t="n">
        <v>0.04156</v>
      </c>
      <c r="Q3528" t="n">
        <v>80</v>
      </c>
      <c r="R3528" t="n">
        <v>0.7144</v>
      </c>
      <c r="S3528">
        <f>IMAGE("https://mitra.stanford.edu/kundaje/oak/projects/neuro-variants/variant_position/credible/roussos_2024/variant_figures/roussos_2024.adolescence.Astrocyte/rs2857504_count_position.png",4,220,900)</f>
        <v/>
      </c>
      <c r="T3528">
        <f>IMAGE("https://mitra.stanford.edu/kundaje/oak/projects/neuro-variants/variant_position/credible/roussos_2024/variant_figures/roussos_2024.adolescence.Astrocyte/rs2857504_profile_position.png",4,220,900)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0.0536577424</v>
      </c>
      <c r="G3529" t="n">
        <v>0.236183501011309</v>
      </c>
      <c r="H3529" t="n">
        <v>0.0133269123970726</v>
      </c>
      <c r="I3529" t="n">
        <v>0.4406308719247016</v>
      </c>
      <c r="J3529" t="n">
        <v>0.6086609500637925</v>
      </c>
      <c r="K3529" t="n">
        <v>0.0324653061686635</v>
      </c>
      <c r="L3529" t="b">
        <v>0</v>
      </c>
      <c r="M3529" t="b">
        <v>0</v>
      </c>
      <c r="N3529" t="inlineStr">
        <is>
          <t>alt</t>
        </is>
      </c>
      <c r="O3529" t="n">
        <v>80</v>
      </c>
      <c r="P3529" t="n">
        <v>0.01061</v>
      </c>
      <c r="Q3529" t="n">
        <v>80</v>
      </c>
      <c r="R3529" t="n">
        <v>0.3105</v>
      </c>
      <c r="S3529">
        <f>IMAGE("https://mitra.stanford.edu/kundaje/oak/projects/neuro-variants/variant_position/credible/roussos_2024/variant_figures/roussos_2024.adolescence.Astrocyte/rs2245173_count_position.png",4,220,900)</f>
        <v/>
      </c>
      <c r="T3529">
        <f>IMAGE("https://mitra.stanford.edu/kundaje/oak/projects/neuro-variants/variant_position/credible/roussos_2024/variant_figures/roussos_2024.adolescence.Astrocyte/rs2245173_profile_position.png",4,220,900)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0.0132400971399999</v>
      </c>
      <c r="G3530" t="n">
        <v>0.6489911783712536</v>
      </c>
      <c r="H3530" t="n">
        <v>0.0275708388704484</v>
      </c>
      <c r="I3530" t="n">
        <v>0.0434569310367961</v>
      </c>
      <c r="J3530" t="n">
        <v>0.7137035278758568</v>
      </c>
      <c r="K3530" t="n">
        <v>0.0169577461930924</v>
      </c>
      <c r="L3530" t="b">
        <v>0</v>
      </c>
      <c r="M3530" t="b">
        <v>0</v>
      </c>
      <c r="N3530" t="inlineStr">
        <is>
          <t>alt</t>
        </is>
      </c>
      <c r="O3530" t="n">
        <v>25</v>
      </c>
      <c r="P3530" t="n">
        <v>0.005432</v>
      </c>
      <c r="Q3530" t="n">
        <v>100</v>
      </c>
      <c r="R3530" t="n">
        <v>0.1335</v>
      </c>
      <c r="S3530">
        <f>IMAGE("https://mitra.stanford.edu/kundaje/oak/projects/neuro-variants/variant_position/credible/roussos_2024/variant_figures/roussos_2024.adolescence.Astrocyte/rs2857513_count_position.png",4,220,900)</f>
        <v/>
      </c>
      <c r="T3530">
        <f>IMAGE("https://mitra.stanford.edu/kundaje/oak/projects/neuro-variants/variant_position/credible/roussos_2024/variant_figures/roussos_2024.adolescence.Astrocyte/rs2857513_profile_position.png",4,220,900)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0.095624865</v>
      </c>
      <c r="G3531" t="n">
        <v>0.08945084566732631</v>
      </c>
      <c r="H3531" t="n">
        <v>0.0259513798023666</v>
      </c>
      <c r="I3531" t="n">
        <v>0.0575283011913903</v>
      </c>
      <c r="J3531" t="n">
        <v>0.292291487404682</v>
      </c>
      <c r="K3531" t="n">
        <v>0.1385781943521522</v>
      </c>
      <c r="L3531" t="b">
        <v>0</v>
      </c>
      <c r="M3531" t="b">
        <v>0</v>
      </c>
      <c r="N3531" t="inlineStr">
        <is>
          <t>alt</t>
        </is>
      </c>
      <c r="O3531" t="n">
        <v>80</v>
      </c>
      <c r="P3531" t="n">
        <v>0.00628</v>
      </c>
      <c r="Q3531" t="n">
        <v>-15</v>
      </c>
      <c r="R3531" t="n">
        <v>0.01544</v>
      </c>
      <c r="S3531">
        <f>IMAGE("https://mitra.stanford.edu/kundaje/oak/projects/neuro-variants/variant_position/credible/roussos_2024/variant_figures/roussos_2024.adolescence.Astrocyte/rs13195969_count_position.png",4,220,900)</f>
        <v/>
      </c>
      <c r="T3531">
        <f>IMAGE("https://mitra.stanford.edu/kundaje/oak/projects/neuro-variants/variant_position/credible/roussos_2024/variant_figures/roussos_2024.adolescence.Astrocyte/rs13195969_profile_position.png",4,220,900)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-0.0557527238</v>
      </c>
      <c r="G3532" t="n">
        <v>0.2129802185539535</v>
      </c>
      <c r="H3532" t="n">
        <v>0.0399515844095671</v>
      </c>
      <c r="I3532" t="n">
        <v>0.0096701905705519</v>
      </c>
      <c r="J3532" t="n">
        <v>0.06337937275613439</v>
      </c>
      <c r="K3532" t="n">
        <v>0.4017894401030787</v>
      </c>
      <c r="L3532" t="b">
        <v>1</v>
      </c>
      <c r="M3532" t="b">
        <v>1</v>
      </c>
      <c r="N3532" t="inlineStr">
        <is>
          <t>ref</t>
        </is>
      </c>
      <c r="O3532" t="n">
        <v>-50</v>
      </c>
      <c r="P3532" t="n">
        <v>0.0058</v>
      </c>
      <c r="Q3532" t="n">
        <v>-30</v>
      </c>
      <c r="R3532" t="n">
        <v>0.1333</v>
      </c>
      <c r="S3532">
        <f>IMAGE("https://mitra.stanford.edu/kundaje/oak/projects/neuro-variants/variant_position/credible/roussos_2024/variant_figures/roussos_2024.adolescence.Astrocyte/rs56240592_count_position.png",4,220,900)</f>
        <v/>
      </c>
      <c r="T3532">
        <f>IMAGE("https://mitra.stanford.edu/kundaje/oak/projects/neuro-variants/variant_position/credible/roussos_2024/variant_figures/roussos_2024.adolescence.Astrocyte/rs56240592_profile_position.png",4,220,900)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-0.04814818662</v>
      </c>
      <c r="G3533" t="n">
        <v>0.2710834672003779</v>
      </c>
      <c r="H3533" t="n">
        <v>0.0107142927732249</v>
      </c>
      <c r="I3533" t="n">
        <v>0.6835805760218747</v>
      </c>
      <c r="J3533" t="n">
        <v>0.711033142450227</v>
      </c>
      <c r="K3533" t="n">
        <v>0.0146042292966011</v>
      </c>
      <c r="L3533" t="b">
        <v>0</v>
      </c>
      <c r="M3533" t="b">
        <v>0</v>
      </c>
      <c r="N3533" t="inlineStr">
        <is>
          <t>ref</t>
        </is>
      </c>
      <c r="O3533" t="n">
        <v>-100</v>
      </c>
      <c r="P3533" t="n">
        <v>0.09125</v>
      </c>
      <c r="Q3533" t="n">
        <v>-100</v>
      </c>
      <c r="R3533" t="n">
        <v>0.709</v>
      </c>
      <c r="S3533">
        <f>IMAGE("https://mitra.stanford.edu/kundaje/oak/projects/neuro-variants/variant_position/credible/roussos_2024/variant_figures/roussos_2024.adolescence.Astrocyte/rs9463650_count_position.png",4,220,900)</f>
        <v/>
      </c>
      <c r="T3533">
        <f>IMAGE("https://mitra.stanford.edu/kundaje/oak/projects/neuro-variants/variant_position/credible/roussos_2024/variant_figures/roussos_2024.adolescence.Astrocyte/rs9463650_profile_position.png",4,220,900)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-0.0491218275999999</v>
      </c>
      <c r="G3534" t="n">
        <v>0.2526001856264076</v>
      </c>
      <c r="H3534" t="n">
        <v>0.0124544240729673</v>
      </c>
      <c r="I3534" t="n">
        <v>0.5175675162027977</v>
      </c>
      <c r="J3534" t="n">
        <v>0.0013203572382279</v>
      </c>
      <c r="K3534" t="n">
        <v>0.8639993103357461</v>
      </c>
      <c r="L3534" t="b">
        <v>0</v>
      </c>
      <c r="M3534" t="b">
        <v>0</v>
      </c>
      <c r="N3534" t="inlineStr">
        <is>
          <t>ref</t>
        </is>
      </c>
      <c r="O3534" t="n">
        <v>95</v>
      </c>
      <c r="P3534" t="n">
        <v>0.02316</v>
      </c>
      <c r="Q3534" t="n">
        <v>25</v>
      </c>
      <c r="R3534" t="n">
        <v>0.08405</v>
      </c>
      <c r="S3534">
        <f>IMAGE("https://mitra.stanford.edu/kundaje/oak/projects/neuro-variants/variant_position/credible/roussos_2024/variant_figures/roussos_2024.adolescence.Astrocyte/rs9463664_count_position.png",4,220,900)</f>
        <v/>
      </c>
      <c r="T3534">
        <f>IMAGE("https://mitra.stanford.edu/kundaje/oak/projects/neuro-variants/variant_position/credible/roussos_2024/variant_figures/roussos_2024.adolescence.Astrocyte/rs9463664_profile_position.png",4,220,900)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0.01061893584</v>
      </c>
      <c r="G3535" t="n">
        <v>0.4763552913845622</v>
      </c>
      <c r="H3535" t="n">
        <v>0.0186176852344531</v>
      </c>
      <c r="I3535" t="n">
        <v>0.1715019793727293</v>
      </c>
      <c r="J3535" t="n">
        <v>0.0786732635076995</v>
      </c>
      <c r="K3535" t="n">
        <v>0.3610123369387646</v>
      </c>
      <c r="L3535" t="b">
        <v>0</v>
      </c>
      <c r="M3535" t="b">
        <v>0</v>
      </c>
      <c r="N3535" t="inlineStr">
        <is>
          <t>alt</t>
        </is>
      </c>
      <c r="O3535" t="n">
        <v>75</v>
      </c>
      <c r="P3535" t="n">
        <v>0.005905</v>
      </c>
      <c r="Q3535" t="n">
        <v>95</v>
      </c>
      <c r="R3535" t="n">
        <v>0.2717</v>
      </c>
      <c r="S3535">
        <f>IMAGE("https://mitra.stanford.edu/kundaje/oak/projects/neuro-variants/variant_position/credible/roussos_2024/variant_figures/roussos_2024.adolescence.Astrocyte/rs2894780_count_position.png",4,220,900)</f>
        <v/>
      </c>
      <c r="T3535">
        <f>IMAGE("https://mitra.stanford.edu/kundaje/oak/projects/neuro-variants/variant_position/credible/roussos_2024/variant_figures/roussos_2024.adolescence.Astrocyte/rs2894780_profile_position.png",4,220,900)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-0.0526442106</v>
      </c>
      <c r="G3536" t="n">
        <v>0.2331901042277906</v>
      </c>
      <c r="H3536" t="n">
        <v>0.0155586548492274</v>
      </c>
      <c r="I3536" t="n">
        <v>0.2973741564966556</v>
      </c>
      <c r="J3536" t="n">
        <v>0.0116881286532355</v>
      </c>
      <c r="K3536" t="n">
        <v>0.6378563939778148</v>
      </c>
      <c r="L3536" t="b">
        <v>0</v>
      </c>
      <c r="M3536" t="b">
        <v>0</v>
      </c>
      <c r="N3536" t="inlineStr">
        <is>
          <t>ref</t>
        </is>
      </c>
      <c r="O3536" t="n">
        <v>-100</v>
      </c>
      <c r="P3536" t="n">
        <v>0.0617</v>
      </c>
      <c r="Q3536" t="n">
        <v>-50</v>
      </c>
      <c r="R3536" t="n">
        <v>0.197</v>
      </c>
      <c r="S3536">
        <f>IMAGE("https://mitra.stanford.edu/kundaje/oak/projects/neuro-variants/variant_position/credible/roussos_2024/variant_figures/roussos_2024.adolescence.Astrocyte/rs9341835_count_position.png",4,220,900)</f>
        <v/>
      </c>
      <c r="T3536">
        <f>IMAGE("https://mitra.stanford.edu/kundaje/oak/projects/neuro-variants/variant_position/credible/roussos_2024/variant_figures/roussos_2024.adolescence.Astrocyte/rs9341835_profile_position.png",4,220,900)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-0.008252941680000001</v>
      </c>
      <c r="G3537" t="n">
        <v>0.7358193517982167</v>
      </c>
      <c r="H3537" t="n">
        <v>0.0118981429152011</v>
      </c>
      <c r="I3537" t="n">
        <v>0.5463669312727076</v>
      </c>
      <c r="J3537" t="n">
        <v>0.0044165207844998</v>
      </c>
      <c r="K3537" t="n">
        <v>0.7878695702430787</v>
      </c>
      <c r="L3537" t="b">
        <v>0</v>
      </c>
      <c r="M3537" t="b">
        <v>0</v>
      </c>
      <c r="N3537" t="inlineStr">
        <is>
          <t>ref</t>
        </is>
      </c>
      <c r="O3537" t="n">
        <v>-5</v>
      </c>
      <c r="P3537" t="n">
        <v>0.000538</v>
      </c>
      <c r="Q3537" t="n">
        <v>100</v>
      </c>
      <c r="R3537" t="n">
        <v>0.553</v>
      </c>
      <c r="S3537">
        <f>IMAGE("https://mitra.stanford.edu/kundaje/oak/projects/neuro-variants/variant_position/credible/roussos_2024/variant_figures/roussos_2024.adolescence.Astrocyte/rs9344129_count_position.png",4,220,900)</f>
        <v/>
      </c>
      <c r="T3537">
        <f>IMAGE("https://mitra.stanford.edu/kundaje/oak/projects/neuro-variants/variant_position/credible/roussos_2024/variant_figures/roussos_2024.adolescence.Astrocyte/rs9344129_profile_position.png",4,220,900)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0.011336944</v>
      </c>
      <c r="G3538" t="n">
        <v>0.7016916032289918</v>
      </c>
      <c r="H3538" t="n">
        <v>0.030782526528469</v>
      </c>
      <c r="I3538" t="n">
        <v>0.0286099529901746</v>
      </c>
      <c r="J3538" t="n">
        <v>0.0076780998724148</v>
      </c>
      <c r="K3538" t="n">
        <v>0.6968270435506551</v>
      </c>
      <c r="L3538" t="b">
        <v>0</v>
      </c>
      <c r="M3538" t="b">
        <v>0</v>
      </c>
      <c r="N3538" t="inlineStr">
        <is>
          <t>alt</t>
        </is>
      </c>
      <c r="O3538" t="n">
        <v>-60</v>
      </c>
      <c r="P3538" t="n">
        <v>0.049</v>
      </c>
      <c r="Q3538" t="n">
        <v>-45</v>
      </c>
      <c r="R3538" t="n">
        <v>0.1641</v>
      </c>
      <c r="S3538">
        <f>IMAGE("https://mitra.stanford.edu/kundaje/oak/projects/neuro-variants/variant_position/credible/roussos_2024/variant_figures/roussos_2024.adolescence.Astrocyte/rs10943823_count_position.png",4,220,900)</f>
        <v/>
      </c>
      <c r="T3538">
        <f>IMAGE("https://mitra.stanford.edu/kundaje/oak/projects/neuro-variants/variant_position/credible/roussos_2024/variant_figures/roussos_2024.adolescence.Astrocyte/rs10943823_profile_position.png",4,220,900)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-0.008271696219999999</v>
      </c>
      <c r="G3539" t="n">
        <v>0.5915861910821948</v>
      </c>
      <c r="H3539" t="n">
        <v>0.0088525234615193</v>
      </c>
      <c r="I3539" t="n">
        <v>0.8483281747805569</v>
      </c>
      <c r="J3539" t="n">
        <v>0.0751120078331305</v>
      </c>
      <c r="K3539" t="n">
        <v>0.3757012931157518</v>
      </c>
      <c r="L3539" t="b">
        <v>0</v>
      </c>
      <c r="M3539" t="b">
        <v>0</v>
      </c>
      <c r="N3539" t="inlineStr">
        <is>
          <t>ref</t>
        </is>
      </c>
      <c r="O3539" t="n">
        <v>75</v>
      </c>
      <c r="P3539" t="n">
        <v>0.01842</v>
      </c>
      <c r="Q3539" t="n">
        <v>-10</v>
      </c>
      <c r="R3539" t="n">
        <v>0.04028</v>
      </c>
      <c r="S3539">
        <f>IMAGE("https://mitra.stanford.edu/kundaje/oak/projects/neuro-variants/variant_position/credible/roussos_2024/variant_figures/roussos_2024.adolescence.Astrocyte/rs2789588_count_position.png",4,220,900)</f>
        <v/>
      </c>
      <c r="T3539">
        <f>IMAGE("https://mitra.stanford.edu/kundaje/oak/projects/neuro-variants/variant_position/credible/roussos_2024/variant_figures/roussos_2024.adolescence.Astrocyte/rs2789588_profile_position.png",4,220,900)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-0.0461887963999999</v>
      </c>
      <c r="G3540" t="n">
        <v>0.2951107083243146</v>
      </c>
      <c r="H3540" t="n">
        <v>0.0088562029796725</v>
      </c>
      <c r="I3540" t="n">
        <v>0.8656622839769803</v>
      </c>
      <c r="J3540" t="n">
        <v>0.0002188232501557</v>
      </c>
      <c r="K3540" t="n">
        <v>0.95739210961485</v>
      </c>
      <c r="L3540" t="b">
        <v>0</v>
      </c>
      <c r="M3540" t="b">
        <v>0</v>
      </c>
      <c r="N3540" t="inlineStr">
        <is>
          <t>ref</t>
        </is>
      </c>
      <c r="O3540" t="n">
        <v>-100</v>
      </c>
      <c r="P3540" t="n">
        <v>0.00751</v>
      </c>
      <c r="Q3540" t="n">
        <v>-100</v>
      </c>
      <c r="R3540" t="n">
        <v>0.1492</v>
      </c>
      <c r="S3540">
        <f>IMAGE("https://mitra.stanford.edu/kundaje/oak/projects/neuro-variants/variant_position/credible/roussos_2024/variant_figures/roussos_2024.adolescence.Astrocyte/rs1856507_count_position.png",4,220,900)</f>
        <v/>
      </c>
      <c r="T3540">
        <f>IMAGE("https://mitra.stanford.edu/kundaje/oak/projects/neuro-variants/variant_position/credible/roussos_2024/variant_figures/roussos_2024.adolescence.Astrocyte/rs1856507_profile_position.png",4,220,900)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-0.0337423871999999</v>
      </c>
      <c r="G3541" t="n">
        <v>0.3648339269874791</v>
      </c>
      <c r="H3541" t="n">
        <v>0.0121977751287654</v>
      </c>
      <c r="I3541" t="n">
        <v>0.5390738462458861</v>
      </c>
      <c r="J3541" t="n">
        <v>0.0078316470343886</v>
      </c>
      <c r="K3541" t="n">
        <v>0.6860867551872404</v>
      </c>
      <c r="L3541" t="b">
        <v>0</v>
      </c>
      <c r="M3541" t="b">
        <v>0</v>
      </c>
      <c r="N3541" t="inlineStr">
        <is>
          <t>ref</t>
        </is>
      </c>
      <c r="O3541" t="n">
        <v>-45</v>
      </c>
      <c r="P3541" t="n">
        <v>0.008316</v>
      </c>
      <c r="Q3541" t="n">
        <v>5</v>
      </c>
      <c r="R3541" t="n">
        <v>0.00279</v>
      </c>
      <c r="S3541">
        <f>IMAGE("https://mitra.stanford.edu/kundaje/oak/projects/neuro-variants/variant_position/credible/roussos_2024/variant_figures/roussos_2024.adolescence.Astrocyte/rs2023569_count_position.png",4,220,900)</f>
        <v/>
      </c>
      <c r="T3541">
        <f>IMAGE("https://mitra.stanford.edu/kundaje/oak/projects/neuro-variants/variant_position/credible/roussos_2024/variant_figures/roussos_2024.adolescence.Astrocyte/rs2023569_profile_position.png",4,220,900)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0.0323614972</v>
      </c>
      <c r="G3542" t="n">
        <v>0.3852028620277176</v>
      </c>
      <c r="H3542" t="n">
        <v>0.0146412154144499</v>
      </c>
      <c r="I3542" t="n">
        <v>0.3462423703461486</v>
      </c>
      <c r="J3542" t="n">
        <v>0.009959054090140199</v>
      </c>
      <c r="K3542" t="n">
        <v>0.6590586221058796</v>
      </c>
      <c r="L3542" t="b">
        <v>0</v>
      </c>
      <c r="M3542" t="b">
        <v>0</v>
      </c>
      <c r="N3542" t="inlineStr">
        <is>
          <t>alt</t>
        </is>
      </c>
      <c r="O3542" t="n">
        <v>100</v>
      </c>
      <c r="P3542" t="n">
        <v>0.00751</v>
      </c>
      <c r="Q3542" t="n">
        <v>-100</v>
      </c>
      <c r="R3542" t="n">
        <v>0.136</v>
      </c>
      <c r="S3542">
        <f>IMAGE("https://mitra.stanford.edu/kundaje/oak/projects/neuro-variants/variant_position/credible/roussos_2024/variant_figures/roussos_2024.adolescence.Astrocyte/rs2022265_count_position.png",4,220,900)</f>
        <v/>
      </c>
      <c r="T3542">
        <f>IMAGE("https://mitra.stanford.edu/kundaje/oak/projects/neuro-variants/variant_position/credible/roussos_2024/variant_figures/roussos_2024.adolescence.Astrocyte/rs2022265_profile_position.png",4,220,900)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0.0024089064199999</v>
      </c>
      <c r="G3543" t="n">
        <v>0.8907995266722462</v>
      </c>
      <c r="H3543" t="n">
        <v>0.0108329080578822</v>
      </c>
      <c r="I3543" t="n">
        <v>0.6681336528311735</v>
      </c>
      <c r="J3543" t="n">
        <v>0.0046969112541909</v>
      </c>
      <c r="K3543" t="n">
        <v>0.7426617835042912</v>
      </c>
      <c r="L3543" t="b">
        <v>0</v>
      </c>
      <c r="M3543" t="b">
        <v>0</v>
      </c>
      <c r="N3543" t="inlineStr">
        <is>
          <t>alt</t>
        </is>
      </c>
      <c r="O3543" t="n">
        <v>95</v>
      </c>
      <c r="P3543" t="n">
        <v>0.1005</v>
      </c>
      <c r="Q3543" t="n">
        <v>-100</v>
      </c>
      <c r="R3543" t="n">
        <v>0.1381</v>
      </c>
      <c r="S3543">
        <f>IMAGE("https://mitra.stanford.edu/kundaje/oak/projects/neuro-variants/variant_position/credible/roussos_2024/variant_figures/roussos_2024.adolescence.Astrocyte/rs2208335_count_position.png",4,220,900)</f>
        <v/>
      </c>
      <c r="T3543">
        <f>IMAGE("https://mitra.stanford.edu/kundaje/oak/projects/neuro-variants/variant_position/credible/roussos_2024/variant_figures/roussos_2024.adolescence.Astrocyte/rs2208335_profile_position.png",4,220,900)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-0.0759663424</v>
      </c>
      <c r="G3544" t="n">
        <v>0.1354539119135576</v>
      </c>
      <c r="H3544" t="n">
        <v>0.0143820224345011</v>
      </c>
      <c r="I3544" t="n">
        <v>0.3618554794634372</v>
      </c>
      <c r="J3544" t="n">
        <v>0.0162581965997091</v>
      </c>
      <c r="K3544" t="n">
        <v>0.6246371484994762</v>
      </c>
      <c r="L3544" t="b">
        <v>0</v>
      </c>
      <c r="M3544" t="b">
        <v>0</v>
      </c>
      <c r="N3544" t="inlineStr">
        <is>
          <t>ref</t>
        </is>
      </c>
      <c r="O3544" t="n">
        <v>5</v>
      </c>
      <c r="P3544" t="n">
        <v>0.003326</v>
      </c>
      <c r="Q3544" t="n">
        <v>100</v>
      </c>
      <c r="R3544" t="n">
        <v>0.1316</v>
      </c>
      <c r="S3544">
        <f>IMAGE("https://mitra.stanford.edu/kundaje/oak/projects/neuro-variants/variant_position/credible/roussos_2024/variant_figures/roussos_2024.adolescence.Astrocyte/rs2324447_count_position.png",4,220,900)</f>
        <v/>
      </c>
      <c r="T3544">
        <f>IMAGE("https://mitra.stanford.edu/kundaje/oak/projects/neuro-variants/variant_position/credible/roussos_2024/variant_figures/roussos_2024.adolescence.Astrocyte/rs2324447_profile_position.png",4,220,900)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-0.052906983</v>
      </c>
      <c r="G3545" t="n">
        <v>0.2195035602525861</v>
      </c>
      <c r="H3545" t="n">
        <v>0.0251300584814825</v>
      </c>
      <c r="I3545" t="n">
        <v>0.0617340654120786</v>
      </c>
      <c r="J3545" t="n">
        <v>0.1742812212562679</v>
      </c>
      <c r="K3545" t="n">
        <v>0.2275065054431284</v>
      </c>
      <c r="L3545" t="b">
        <v>0</v>
      </c>
      <c r="M3545" t="b">
        <v>0</v>
      </c>
      <c r="N3545" t="inlineStr">
        <is>
          <t>ref</t>
        </is>
      </c>
      <c r="O3545" t="n">
        <v>-90</v>
      </c>
      <c r="P3545" t="n">
        <v>0.01929</v>
      </c>
      <c r="Q3545" t="n">
        <v>-90</v>
      </c>
      <c r="R3545" t="n">
        <v>0.07056</v>
      </c>
      <c r="S3545">
        <f>IMAGE("https://mitra.stanford.edu/kundaje/oak/projects/neuro-variants/variant_position/credible/roussos_2024/variant_figures/roussos_2024.adolescence.Astrocyte/rs2207944_count_position.png",4,220,900)</f>
        <v/>
      </c>
      <c r="T3545">
        <f>IMAGE("https://mitra.stanford.edu/kundaje/oak/projects/neuro-variants/variant_position/credible/roussos_2024/variant_figures/roussos_2024.adolescence.Astrocyte/rs2207944_profile_position.png",4,220,900)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0.07646933559999999</v>
      </c>
      <c r="G3546" t="n">
        <v>0.1306198418027423</v>
      </c>
      <c r="H3546" t="n">
        <v>0.0151865912742826</v>
      </c>
      <c r="I3546" t="n">
        <v>0.3150609251859758</v>
      </c>
      <c r="J3546" t="n">
        <v>0.0044706702667417</v>
      </c>
      <c r="K3546" t="n">
        <v>0.7790640925860498</v>
      </c>
      <c r="L3546" t="b">
        <v>0</v>
      </c>
      <c r="M3546" t="b">
        <v>0</v>
      </c>
      <c r="N3546" t="inlineStr">
        <is>
          <t>alt</t>
        </is>
      </c>
      <c r="O3546" t="n">
        <v>10</v>
      </c>
      <c r="P3546" t="n">
        <v>0.0029</v>
      </c>
      <c r="Q3546" t="n">
        <v>-60</v>
      </c>
      <c r="R3546" t="n">
        <v>0.0515</v>
      </c>
      <c r="S3546">
        <f>IMAGE("https://mitra.stanford.edu/kundaje/oak/projects/neuro-variants/variant_position/credible/roussos_2024/variant_figures/roussos_2024.adolescence.Astrocyte/rs217331_count_position.png",4,220,900)</f>
        <v/>
      </c>
      <c r="T3546">
        <f>IMAGE("https://mitra.stanford.edu/kundaje/oak/projects/neuro-variants/variant_position/credible/roussos_2024/variant_figures/roussos_2024.adolescence.Astrocyte/rs217331_profile_position.png",4,220,900)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-0.0485186326</v>
      </c>
      <c r="G3547" t="n">
        <v>0.2759389279902777</v>
      </c>
      <c r="H3547" t="n">
        <v>0.0116486796300523</v>
      </c>
      <c r="I3547" t="n">
        <v>0.5808249833329951</v>
      </c>
      <c r="J3547" t="n">
        <v>0.0199507462243716</v>
      </c>
      <c r="K3547" t="n">
        <v>0.5748994471911869</v>
      </c>
      <c r="L3547" t="b">
        <v>0</v>
      </c>
      <c r="M3547" t="b">
        <v>0</v>
      </c>
      <c r="N3547" t="inlineStr">
        <is>
          <t>ref</t>
        </is>
      </c>
      <c r="O3547" t="n">
        <v>-100</v>
      </c>
      <c r="P3547" t="n">
        <v>0.003109</v>
      </c>
      <c r="Q3547" t="n">
        <v>-85</v>
      </c>
      <c r="R3547" t="n">
        <v>0.07630000000000001</v>
      </c>
      <c r="S3547">
        <f>IMAGE("https://mitra.stanford.edu/kundaje/oak/projects/neuro-variants/variant_position/credible/roussos_2024/variant_figures/roussos_2024.adolescence.Astrocyte/rs217311_count_position.png",4,220,900)</f>
        <v/>
      </c>
      <c r="T3547">
        <f>IMAGE("https://mitra.stanford.edu/kundaje/oak/projects/neuro-variants/variant_position/credible/roussos_2024/variant_figures/roussos_2024.adolescence.Astrocyte/rs217311_profile_position.png",4,220,900)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-0.0496693612</v>
      </c>
      <c r="G3548" t="n">
        <v>0.2510519535638576</v>
      </c>
      <c r="H3548" t="n">
        <v>0.0135742596450356</v>
      </c>
      <c r="I3548" t="n">
        <v>0.4208898057147204</v>
      </c>
      <c r="J3548" t="n">
        <v>0.0101941963623415</v>
      </c>
      <c r="K3548" t="n">
        <v>0.6580034867424045</v>
      </c>
      <c r="L3548" t="b">
        <v>0</v>
      </c>
      <c r="M3548" t="b">
        <v>0</v>
      </c>
      <c r="N3548" t="inlineStr">
        <is>
          <t>ref</t>
        </is>
      </c>
      <c r="O3548" t="n">
        <v>70</v>
      </c>
      <c r="P3548" t="n">
        <v>0.003494</v>
      </c>
      <c r="Q3548" t="n">
        <v>85</v>
      </c>
      <c r="R3548" t="n">
        <v>0.1677</v>
      </c>
      <c r="S3548">
        <f>IMAGE("https://mitra.stanford.edu/kundaje/oak/projects/neuro-variants/variant_position/credible/roussos_2024/variant_figures/roussos_2024.adolescence.Astrocyte/rs217303_count_position.png",4,220,900)</f>
        <v/>
      </c>
      <c r="T3548">
        <f>IMAGE("https://mitra.stanford.edu/kundaje/oak/projects/neuro-variants/variant_position/credible/roussos_2024/variant_figures/roussos_2024.adolescence.Astrocyte/rs217303_profile_position.png",4,220,900)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0.0236494987</v>
      </c>
      <c r="G3549" t="n">
        <v>0.4182043212464616</v>
      </c>
      <c r="H3549" t="n">
        <v>0.0077135226900629</v>
      </c>
      <c r="I3549" t="n">
        <v>0.9433717190343222</v>
      </c>
      <c r="J3549" t="n">
        <v>0.0010740883600866</v>
      </c>
      <c r="K3549" t="n">
        <v>0.8659260190894746</v>
      </c>
      <c r="L3549" t="b">
        <v>0</v>
      </c>
      <c r="M3549" t="b">
        <v>0</v>
      </c>
      <c r="N3549" t="inlineStr">
        <is>
          <t>alt</t>
        </is>
      </c>
      <c r="O3549" t="n">
        <v>-80</v>
      </c>
      <c r="P3549" t="n">
        <v>0.01378</v>
      </c>
      <c r="Q3549" t="n">
        <v>35</v>
      </c>
      <c r="R3549" t="n">
        <v>0.04663</v>
      </c>
      <c r="S3549">
        <f>IMAGE("https://mitra.stanford.edu/kundaje/oak/projects/neuro-variants/variant_position/credible/roussos_2024/variant_figures/roussos_2024.adolescence.Astrocyte/rs217289_count_position.png",4,220,900)</f>
        <v/>
      </c>
      <c r="T3549">
        <f>IMAGE("https://mitra.stanford.edu/kundaje/oak/projects/neuro-variants/variant_position/credible/roussos_2024/variant_figures/roussos_2024.adolescence.Astrocyte/rs217289_profile_position.png",4,220,900)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-0.02220051</v>
      </c>
      <c r="G3550" t="n">
        <v>0.523828985826767</v>
      </c>
      <c r="H3550" t="n">
        <v>0.0215175686559692</v>
      </c>
      <c r="I3550" t="n">
        <v>0.1071927179374571</v>
      </c>
      <c r="J3550" t="n">
        <v>0.0039469780138266</v>
      </c>
      <c r="K3550" t="n">
        <v>0.7705300457092115</v>
      </c>
      <c r="L3550" t="b">
        <v>0</v>
      </c>
      <c r="M3550" t="b">
        <v>0</v>
      </c>
      <c r="N3550" t="inlineStr">
        <is>
          <t>ref</t>
        </is>
      </c>
      <c r="O3550" t="n">
        <v>80</v>
      </c>
      <c r="P3550" t="n">
        <v>0.010574</v>
      </c>
      <c r="Q3550" t="n">
        <v>90</v>
      </c>
      <c r="R3550" t="n">
        <v>0.1427</v>
      </c>
      <c r="S3550">
        <f>IMAGE("https://mitra.stanford.edu/kundaje/oak/projects/neuro-variants/variant_position/credible/roussos_2024/variant_figures/roussos_2024.adolescence.Astrocyte/rs6917686_count_position.png",4,220,900)</f>
        <v/>
      </c>
      <c r="T3550">
        <f>IMAGE("https://mitra.stanford.edu/kundaje/oak/projects/neuro-variants/variant_position/credible/roussos_2024/variant_figures/roussos_2024.adolescence.Astrocyte/rs6917686_profile_position.png",4,220,900)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-0.0085662225</v>
      </c>
      <c r="G3551" t="n">
        <v>0.7085888216260362</v>
      </c>
      <c r="H3551" t="n">
        <v>0.0260950520443794</v>
      </c>
      <c r="I3551" t="n">
        <v>0.0537727499186497</v>
      </c>
      <c r="J3551" t="n">
        <v>0.0039989021748805</v>
      </c>
      <c r="K3551" t="n">
        <v>0.7687250791006931</v>
      </c>
      <c r="L3551" t="b">
        <v>0</v>
      </c>
      <c r="M3551" t="b">
        <v>0</v>
      </c>
      <c r="N3551" t="inlineStr">
        <is>
          <t>ref</t>
        </is>
      </c>
      <c r="O3551" t="n">
        <v>80</v>
      </c>
      <c r="P3551" t="n">
        <v>0.01015</v>
      </c>
      <c r="Q3551" t="n">
        <v>85</v>
      </c>
      <c r="R3551" t="n">
        <v>0.10254</v>
      </c>
      <c r="S3551">
        <f>IMAGE("https://mitra.stanford.edu/kundaje/oak/projects/neuro-variants/variant_position/credible/roussos_2024/variant_figures/roussos_2024.adolescence.Astrocyte/rs6940316_count_position.png",4,220,900)</f>
        <v/>
      </c>
      <c r="T3551">
        <f>IMAGE("https://mitra.stanford.edu/kundaje/oak/projects/neuro-variants/variant_position/credible/roussos_2024/variant_figures/roussos_2024.adolescence.Astrocyte/rs6940316_profile_position.png",4,220,900)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-0.0239701973999999</v>
      </c>
      <c r="G3552" t="n">
        <v>0.5084301185495713</v>
      </c>
      <c r="H3552" t="n">
        <v>0.0193852188737145</v>
      </c>
      <c r="I3552" t="n">
        <v>0.1498145813427967</v>
      </c>
      <c r="J3552" t="n">
        <v>0.0041999228555321</v>
      </c>
      <c r="K3552" t="n">
        <v>0.7600882864196599</v>
      </c>
      <c r="L3552" t="b">
        <v>0</v>
      </c>
      <c r="M3552" t="b">
        <v>0</v>
      </c>
      <c r="N3552" t="inlineStr">
        <is>
          <t>ref</t>
        </is>
      </c>
      <c r="O3552" t="n">
        <v>95</v>
      </c>
      <c r="P3552" t="n">
        <v>0.00702</v>
      </c>
      <c r="Q3552" t="n">
        <v>95</v>
      </c>
      <c r="R3552" t="n">
        <v>0.07794</v>
      </c>
      <c r="S3552">
        <f>IMAGE("https://mitra.stanford.edu/kundaje/oak/projects/neuro-variants/variant_position/credible/roussos_2024/variant_figures/roussos_2024.adolescence.Astrocyte/rs12193330_count_position.png",4,220,900)</f>
        <v/>
      </c>
      <c r="T3552">
        <f>IMAGE("https://mitra.stanford.edu/kundaje/oak/projects/neuro-variants/variant_position/credible/roussos_2024/variant_figures/roussos_2024.adolescence.Astrocyte/rs12193330_profile_position.png",4,220,900)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-0.0454570315999999</v>
      </c>
      <c r="G3553" t="n">
        <v>0.2607440155110994</v>
      </c>
      <c r="H3553" t="n">
        <v>0.0127701703293604</v>
      </c>
      <c r="I3553" t="n">
        <v>0.4660752640170132</v>
      </c>
      <c r="J3553" t="n">
        <v>0.139631486811263</v>
      </c>
      <c r="K3553" t="n">
        <v>0.2666220434722513</v>
      </c>
      <c r="L3553" t="b">
        <v>0</v>
      </c>
      <c r="M3553" t="b">
        <v>0</v>
      </c>
      <c r="N3553" t="inlineStr">
        <is>
          <t>ref</t>
        </is>
      </c>
      <c r="O3553" t="n">
        <v>100</v>
      </c>
      <c r="P3553" t="n">
        <v>0.156</v>
      </c>
      <c r="Q3553" t="n">
        <v>100</v>
      </c>
      <c r="R3553" t="n">
        <v>0.6035</v>
      </c>
      <c r="S3553">
        <f>IMAGE("https://mitra.stanford.edu/kundaje/oak/projects/neuro-variants/variant_position/credible/roussos_2024/variant_figures/roussos_2024.adolescence.Astrocyte/rs1593657_count_position.png",4,220,900)</f>
        <v/>
      </c>
      <c r="T3553">
        <f>IMAGE("https://mitra.stanford.edu/kundaje/oak/projects/neuro-variants/variant_position/credible/roussos_2024/variant_figures/roussos_2024.adolescence.Astrocyte/rs1593657_profile_position.png",4,220,900)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0.0925708024</v>
      </c>
      <c r="G3554" t="n">
        <v>0.0899872878427628</v>
      </c>
      <c r="H3554" t="n">
        <v>0.0194297126731258</v>
      </c>
      <c r="I3554" t="n">
        <v>0.1514428696272844</v>
      </c>
      <c r="J3554" t="n">
        <v>0.0192245497433462</v>
      </c>
      <c r="K3554" t="n">
        <v>0.5759624084424307</v>
      </c>
      <c r="L3554" t="b">
        <v>0</v>
      </c>
      <c r="M3554" t="b">
        <v>0</v>
      </c>
      <c r="N3554" t="inlineStr">
        <is>
          <t>alt</t>
        </is>
      </c>
      <c r="O3554" t="n">
        <v>95</v>
      </c>
      <c r="P3554" t="n">
        <v>0.01184</v>
      </c>
      <c r="Q3554" t="n">
        <v>95</v>
      </c>
      <c r="R3554" t="n">
        <v>0.1072</v>
      </c>
      <c r="S3554">
        <f>IMAGE("https://mitra.stanford.edu/kundaje/oak/projects/neuro-variants/variant_position/credible/roussos_2024/variant_figures/roussos_2024.adolescence.Astrocyte/rs1346296_count_position.png",4,220,900)</f>
        <v/>
      </c>
      <c r="T3554">
        <f>IMAGE("https://mitra.stanford.edu/kundaje/oak/projects/neuro-variants/variant_position/credible/roussos_2024/variant_figures/roussos_2024.adolescence.Astrocyte/rs1346296_profile_position.png",4,220,900)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-0.0436548528</v>
      </c>
      <c r="G3555" t="n">
        <v>0.2839847127724785</v>
      </c>
      <c r="H3555" t="n">
        <v>0.0235615124788354</v>
      </c>
      <c r="I3555" t="n">
        <v>0.0803958783101363</v>
      </c>
      <c r="J3555" t="n">
        <v>0.0912700649793786</v>
      </c>
      <c r="K3555" t="n">
        <v>0.3502543694361064</v>
      </c>
      <c r="L3555" t="b">
        <v>0</v>
      </c>
      <c r="M3555" t="b">
        <v>0</v>
      </c>
      <c r="N3555" t="inlineStr">
        <is>
          <t>ref</t>
        </is>
      </c>
      <c r="O3555" t="n">
        <v>-90</v>
      </c>
      <c r="P3555" t="n">
        <v>0.01369</v>
      </c>
      <c r="Q3555" t="n">
        <v>-90</v>
      </c>
      <c r="R3555" t="n">
        <v>0.1575</v>
      </c>
      <c r="S3555">
        <f>IMAGE("https://mitra.stanford.edu/kundaje/oak/projects/neuro-variants/variant_position/credible/roussos_2024/variant_figures/roussos_2024.adolescence.Astrocyte/rs6919658_count_position.png",4,220,900)</f>
        <v/>
      </c>
      <c r="T3555">
        <f>IMAGE("https://mitra.stanford.edu/kundaje/oak/projects/neuro-variants/variant_position/credible/roussos_2024/variant_figures/roussos_2024.adolescence.Astrocyte/rs6919658_profile_position.png",4,220,900)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-0.29229341</v>
      </c>
      <c r="G3556" t="n">
        <v>0.0071600856404443</v>
      </c>
      <c r="H3556" t="n">
        <v>0.0378968356507525</v>
      </c>
      <c r="I3556" t="n">
        <v>0.0120956978033432</v>
      </c>
      <c r="J3556" t="n">
        <v>0.0007877637005607</v>
      </c>
      <c r="K3556" t="n">
        <v>0.9067892470102944</v>
      </c>
      <c r="L3556" t="b">
        <v>1</v>
      </c>
      <c r="M3556" t="b">
        <v>1</v>
      </c>
      <c r="N3556" t="inlineStr">
        <is>
          <t>ref</t>
        </is>
      </c>
      <c r="O3556" t="n">
        <v>-10</v>
      </c>
      <c r="P3556" t="n">
        <v>0.00209</v>
      </c>
      <c r="Q3556" t="n">
        <v>-70</v>
      </c>
      <c r="R3556" t="n">
        <v>0.1812</v>
      </c>
      <c r="S3556">
        <f>IMAGE("https://mitra.stanford.edu/kundaje/oak/projects/neuro-variants/variant_position/credible/roussos_2024/variant_figures/roussos_2024.adolescence.Astrocyte/rs142115373_count_position.png",4,220,900)</f>
        <v/>
      </c>
      <c r="T3556">
        <f>IMAGE("https://mitra.stanford.edu/kundaje/oak/projects/neuro-variants/variant_position/credible/roussos_2024/variant_figures/roussos_2024.adolescence.Astrocyte/rs142115373_profile_position.png",4,220,900)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0.009707136606</v>
      </c>
      <c r="G3557" t="n">
        <v>0.6241816388186194</v>
      </c>
      <c r="H3557" t="n">
        <v>0.0264085358158916</v>
      </c>
      <c r="I3557" t="n">
        <v>0.0511242997822734</v>
      </c>
      <c r="J3557" t="n">
        <v>0.0001661573153724</v>
      </c>
      <c r="K3557" t="n">
        <v>0.9669541988011496</v>
      </c>
      <c r="L3557" t="b">
        <v>0</v>
      </c>
      <c r="M3557" t="b">
        <v>0</v>
      </c>
      <c r="N3557" t="inlineStr">
        <is>
          <t>alt</t>
        </is>
      </c>
      <c r="O3557" t="n">
        <v>-95</v>
      </c>
      <c r="P3557" t="n">
        <v>0.0184</v>
      </c>
      <c r="Q3557" t="n">
        <v>-100</v>
      </c>
      <c r="R3557" t="n">
        <v>0.1414</v>
      </c>
      <c r="S3557">
        <f>IMAGE("https://mitra.stanford.edu/kundaje/oak/projects/neuro-variants/variant_position/credible/roussos_2024/variant_figures/roussos_2024.adolescence.Astrocyte/rs139659029_count_position.png",4,220,900)</f>
        <v/>
      </c>
      <c r="T3557">
        <f>IMAGE("https://mitra.stanford.edu/kundaje/oak/projects/neuro-variants/variant_position/credible/roussos_2024/variant_figures/roussos_2024.adolescence.Astrocyte/rs139659029_profile_position.png",4,220,900)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0.00841960254</v>
      </c>
      <c r="G3558" t="n">
        <v>0.7610691895169432</v>
      </c>
      <c r="H3558" t="n">
        <v>0.0257434451563964</v>
      </c>
      <c r="I3558" t="n">
        <v>0.0589440900384112</v>
      </c>
      <c r="J3558" t="n">
        <v>0.0004762187342372</v>
      </c>
      <c r="K3558" t="n">
        <v>0.9200115144501192</v>
      </c>
      <c r="L3558" t="b">
        <v>0</v>
      </c>
      <c r="M3558" t="b">
        <v>0</v>
      </c>
      <c r="N3558" t="inlineStr">
        <is>
          <t>alt</t>
        </is>
      </c>
      <c r="O3558" t="n">
        <v>90</v>
      </c>
      <c r="P3558" t="n">
        <v>0.002335</v>
      </c>
      <c r="Q3558" t="n">
        <v>-100</v>
      </c>
      <c r="R3558" t="n">
        <v>0.136</v>
      </c>
      <c r="S3558">
        <f>IMAGE("https://mitra.stanford.edu/kundaje/oak/projects/neuro-variants/variant_position/credible/roussos_2024/variant_figures/roussos_2024.adolescence.Astrocyte/rs648204_count_position.png",4,220,900)</f>
        <v/>
      </c>
      <c r="T3558">
        <f>IMAGE("https://mitra.stanford.edu/kundaje/oak/projects/neuro-variants/variant_position/credible/roussos_2024/variant_figures/roussos_2024.adolescence.Astrocyte/rs648204_profile_position.png",4,220,900)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0.0057256513</v>
      </c>
      <c r="G3559" t="n">
        <v>0.8440337706919617</v>
      </c>
      <c r="H3559" t="n">
        <v>0.0263545695013364</v>
      </c>
      <c r="I3559" t="n">
        <v>0.0531818126508781</v>
      </c>
      <c r="J3559" t="n">
        <v>0.0002618461264575</v>
      </c>
      <c r="K3559" t="n">
        <v>0.9548733968201684</v>
      </c>
      <c r="L3559" t="b">
        <v>0</v>
      </c>
      <c r="M3559" t="b">
        <v>0</v>
      </c>
      <c r="N3559" t="inlineStr">
        <is>
          <t>alt</t>
        </is>
      </c>
      <c r="O3559" t="n">
        <v>-95</v>
      </c>
      <c r="P3559" t="n">
        <v>0.01888</v>
      </c>
      <c r="Q3559" t="n">
        <v>55</v>
      </c>
      <c r="R3559" t="n">
        <v>0.0945</v>
      </c>
      <c r="S3559">
        <f>IMAGE("https://mitra.stanford.edu/kundaje/oak/projects/neuro-variants/variant_position/credible/roussos_2024/variant_figures/roussos_2024.adolescence.Astrocyte/rs586541_count_position.png",4,220,900)</f>
        <v/>
      </c>
      <c r="T3559">
        <f>IMAGE("https://mitra.stanford.edu/kundaje/oak/projects/neuro-variants/variant_position/credible/roussos_2024/variant_figures/roussos_2024.adolescence.Astrocyte/rs586541_profile_position.png",4,220,900)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-0.01393042648</v>
      </c>
      <c r="G3560" t="n">
        <v>0.664610770631765</v>
      </c>
      <c r="H3560" t="n">
        <v>0.0118450495244793</v>
      </c>
      <c r="I3560" t="n">
        <v>0.5652813836823262</v>
      </c>
      <c r="J3560" t="n">
        <v>0.012896478058333</v>
      </c>
      <c r="K3560" t="n">
        <v>0.6236169914399712</v>
      </c>
      <c r="L3560" t="b">
        <v>0</v>
      </c>
      <c r="M3560" t="b">
        <v>0</v>
      </c>
      <c r="N3560" t="inlineStr">
        <is>
          <t>ref</t>
        </is>
      </c>
      <c r="O3560" t="n">
        <v>0</v>
      </c>
      <c r="P3560" t="n">
        <v>0</v>
      </c>
      <c r="Q3560" t="n">
        <v>85</v>
      </c>
      <c r="R3560" t="n">
        <v>0.08450000000000001</v>
      </c>
      <c r="S3560">
        <f>IMAGE("https://mitra.stanford.edu/kundaje/oak/projects/neuro-variants/variant_position/credible/roussos_2024/variant_figures/roussos_2024.adolescence.Astrocyte/rs910025_count_position.png",4,220,900)</f>
        <v/>
      </c>
      <c r="T3560">
        <f>IMAGE("https://mitra.stanford.edu/kundaje/oak/projects/neuro-variants/variant_position/credible/roussos_2024/variant_figures/roussos_2024.adolescence.Astrocyte/rs910025_profile_position.png",4,220,900)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0.0738512528</v>
      </c>
      <c r="G3561" t="n">
        <v>0.1837149604849667</v>
      </c>
      <c r="H3561" t="n">
        <v>0.0213322846634355</v>
      </c>
      <c r="I3561" t="n">
        <v>0.1228527836294756</v>
      </c>
      <c r="J3561" t="n">
        <v>0.0554149482241936</v>
      </c>
      <c r="K3561" t="n">
        <v>0.4368428316850917</v>
      </c>
      <c r="L3561" t="b">
        <v>0</v>
      </c>
      <c r="M3561" t="b">
        <v>0</v>
      </c>
      <c r="N3561" t="inlineStr">
        <is>
          <t>alt</t>
        </is>
      </c>
      <c r="O3561" t="n">
        <v>-40</v>
      </c>
      <c r="P3561" t="n">
        <v>0.003616</v>
      </c>
      <c r="Q3561" t="n">
        <v>15</v>
      </c>
      <c r="R3561" t="n">
        <v>0.07580000000000001</v>
      </c>
      <c r="S3561">
        <f>IMAGE("https://mitra.stanford.edu/kundaje/oak/projects/neuro-variants/variant_position/credible/roussos_2024/variant_figures/roussos_2024.adolescence.Astrocyte/rs474447_count_position.png",4,220,900)</f>
        <v/>
      </c>
      <c r="T3561">
        <f>IMAGE("https://mitra.stanford.edu/kundaje/oak/projects/neuro-variants/variant_position/credible/roussos_2024/variant_figures/roussos_2024.adolescence.Astrocyte/rs474447_profile_position.png",4,220,900)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0.00547899156</v>
      </c>
      <c r="G3562" t="n">
        <v>0.8225749918850472</v>
      </c>
      <c r="H3562" t="n">
        <v>0.0362817478633471</v>
      </c>
      <c r="I3562" t="n">
        <v>0.0150914763349099</v>
      </c>
      <c r="J3562" t="n">
        <v>0.0019642168352965</v>
      </c>
      <c r="K3562" t="n">
        <v>0.833931127618004</v>
      </c>
      <c r="L3562" t="b">
        <v>0</v>
      </c>
      <c r="M3562" t="b">
        <v>0</v>
      </c>
      <c r="N3562" t="inlineStr">
        <is>
          <t>alt</t>
        </is>
      </c>
      <c r="O3562" t="n">
        <v>25</v>
      </c>
      <c r="P3562" t="n">
        <v>0.002548</v>
      </c>
      <c r="Q3562" t="n">
        <v>-95</v>
      </c>
      <c r="R3562" t="n">
        <v>0.2294</v>
      </c>
      <c r="S3562">
        <f>IMAGE("https://mitra.stanford.edu/kundaje/oak/projects/neuro-variants/variant_position/credible/roussos_2024/variant_figures/roussos_2024.adolescence.Astrocyte/rs675629_count_position.png",4,220,900)</f>
        <v/>
      </c>
      <c r="T3562">
        <f>IMAGE("https://mitra.stanford.edu/kundaje/oak/projects/neuro-variants/variant_position/credible/roussos_2024/variant_figures/roussos_2024.adolescence.Astrocyte/rs675629_profile_position.png",4,220,900)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0.0192058623399999</v>
      </c>
      <c r="G3563" t="n">
        <v>0.572751173643417</v>
      </c>
      <c r="H3563" t="n">
        <v>0.0395979403891689</v>
      </c>
      <c r="I3563" t="n">
        <v>0.0100155667199601</v>
      </c>
      <c r="J3563" t="n">
        <v>0.0126383408005221</v>
      </c>
      <c r="K3563" t="n">
        <v>0.6389236833100833</v>
      </c>
      <c r="L3563" t="b">
        <v>1</v>
      </c>
      <c r="M3563" t="b">
        <v>0</v>
      </c>
      <c r="N3563" t="inlineStr">
        <is>
          <t>alt</t>
        </is>
      </c>
      <c r="O3563" t="n">
        <v>100</v>
      </c>
      <c r="P3563" t="n">
        <v>0.01228</v>
      </c>
      <c r="Q3563" t="n">
        <v>-80</v>
      </c>
      <c r="R3563" t="n">
        <v>0.1958</v>
      </c>
      <c r="S3563">
        <f>IMAGE("https://mitra.stanford.edu/kundaje/oak/projects/neuro-variants/variant_position/credible/roussos_2024/variant_figures/roussos_2024.adolescence.Astrocyte/rs582112_count_position.png",4,220,900)</f>
        <v/>
      </c>
      <c r="T3563">
        <f>IMAGE("https://mitra.stanford.edu/kundaje/oak/projects/neuro-variants/variant_position/credible/roussos_2024/variant_figures/roussos_2024.adolescence.Astrocyte/rs582112_profile_position.png",4,220,900)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0.0499519487</v>
      </c>
      <c r="G3564" t="n">
        <v>0.1928125793854578</v>
      </c>
      <c r="H3564" t="n">
        <v>0.0144277096524421</v>
      </c>
      <c r="I3564" t="n">
        <v>0.356342450636363</v>
      </c>
      <c r="J3564" t="n">
        <v>0.0233769990802005</v>
      </c>
      <c r="K3564" t="n">
        <v>0.552585516683586</v>
      </c>
      <c r="L3564" t="b">
        <v>0</v>
      </c>
      <c r="M3564" t="b">
        <v>0</v>
      </c>
      <c r="N3564" t="inlineStr">
        <is>
          <t>alt</t>
        </is>
      </c>
      <c r="O3564" t="n">
        <v>-25</v>
      </c>
      <c r="P3564" t="n">
        <v>0.003033</v>
      </c>
      <c r="Q3564" t="n">
        <v>55</v>
      </c>
      <c r="R3564" t="n">
        <v>0.07385</v>
      </c>
      <c r="S3564">
        <f>IMAGE("https://mitra.stanford.edu/kundaje/oak/projects/neuro-variants/variant_position/credible/roussos_2024/variant_figures/roussos_2024.adolescence.Astrocyte/rs595200_count_position.png",4,220,900)</f>
        <v/>
      </c>
      <c r="T3564">
        <f>IMAGE("https://mitra.stanford.edu/kundaje/oak/projects/neuro-variants/variant_position/credible/roussos_2024/variant_figures/roussos_2024.adolescence.Astrocyte/rs595200_profile_position.png",4,220,900)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0.0247501627999999</v>
      </c>
      <c r="G3565" t="n">
        <v>0.4807381161995004</v>
      </c>
      <c r="H3565" t="n">
        <v>0.0274010173613961</v>
      </c>
      <c r="I3565" t="n">
        <v>0.0445830191613474</v>
      </c>
      <c r="J3565" t="n">
        <v>0.0132807168501319</v>
      </c>
      <c r="K3565" t="n">
        <v>0.6230119350218012</v>
      </c>
      <c r="L3565" t="b">
        <v>0</v>
      </c>
      <c r="M3565" t="b">
        <v>0</v>
      </c>
      <c r="N3565" t="inlineStr">
        <is>
          <t>alt</t>
        </is>
      </c>
      <c r="O3565" t="n">
        <v>-80</v>
      </c>
      <c r="P3565" t="n">
        <v>0.1134</v>
      </c>
      <c r="Q3565" t="n">
        <v>-80</v>
      </c>
      <c r="R3565" t="n">
        <v>0.1909</v>
      </c>
      <c r="S3565">
        <f>IMAGE("https://mitra.stanford.edu/kundaje/oak/projects/neuro-variants/variant_position/credible/roussos_2024/variant_figures/roussos_2024.adolescence.Astrocyte/rs17592255_count_position.png",4,220,900)</f>
        <v/>
      </c>
      <c r="T3565">
        <f>IMAGE("https://mitra.stanford.edu/kundaje/oak/projects/neuro-variants/variant_position/credible/roussos_2024/variant_figures/roussos_2024.adolescence.Astrocyte/rs17592255_profile_position.png",4,220,900)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-0.009176473859999999</v>
      </c>
      <c r="G3566" t="n">
        <v>0.7509101044591338</v>
      </c>
      <c r="H3566" t="n">
        <v>0.0169482537032542</v>
      </c>
      <c r="I3566" t="n">
        <v>0.2282626687467249</v>
      </c>
      <c r="J3566" t="n">
        <v>0.0287489244280924</v>
      </c>
      <c r="K3566" t="n">
        <v>0.5529226051159415</v>
      </c>
      <c r="L3566" t="b">
        <v>0</v>
      </c>
      <c r="M3566" t="b">
        <v>0</v>
      </c>
      <c r="N3566" t="inlineStr">
        <is>
          <t>ref</t>
        </is>
      </c>
      <c r="O3566" t="n">
        <v>40</v>
      </c>
      <c r="P3566" t="n">
        <v>0.00809</v>
      </c>
      <c r="Q3566" t="n">
        <v>100</v>
      </c>
      <c r="R3566" t="n">
        <v>0.06884999999999999</v>
      </c>
      <c r="S3566">
        <f>IMAGE("https://mitra.stanford.edu/kundaje/oak/projects/neuro-variants/variant_position/credible/roussos_2024/variant_figures/roussos_2024.adolescence.Astrocyte/rs6926151_count_position.png",4,220,900)</f>
        <v/>
      </c>
      <c r="T3566">
        <f>IMAGE("https://mitra.stanford.edu/kundaje/oak/projects/neuro-variants/variant_position/credible/roussos_2024/variant_figures/roussos_2024.adolescence.Astrocyte/rs6926151_profile_position.png",4,220,900)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-0.0182178707</v>
      </c>
      <c r="G3567" t="n">
        <v>0.5883362059436521</v>
      </c>
      <c r="H3567" t="n">
        <v>0.009917358269891</v>
      </c>
      <c r="I3567" t="n">
        <v>0.7635158649984872</v>
      </c>
      <c r="J3567" t="n">
        <v>0.0033950983591964</v>
      </c>
      <c r="K3567" t="n">
        <v>0.817061577695267</v>
      </c>
      <c r="L3567" t="b">
        <v>0</v>
      </c>
      <c r="M3567" t="b">
        <v>0</v>
      </c>
      <c r="N3567" t="inlineStr">
        <is>
          <t>ref</t>
        </is>
      </c>
      <c r="O3567" t="n">
        <v>60</v>
      </c>
      <c r="P3567" t="n">
        <v>0.007904</v>
      </c>
      <c r="Q3567" t="n">
        <v>95</v>
      </c>
      <c r="R3567" t="n">
        <v>0.02449</v>
      </c>
      <c r="S3567">
        <f>IMAGE("https://mitra.stanford.edu/kundaje/oak/projects/neuro-variants/variant_position/credible/roussos_2024/variant_figures/roussos_2024.adolescence.Astrocyte/rs1933801_count_position.png",4,220,900)</f>
        <v/>
      </c>
      <c r="T3567">
        <f>IMAGE("https://mitra.stanford.edu/kundaje/oak/projects/neuro-variants/variant_position/credible/roussos_2024/variant_figures/roussos_2024.adolescence.Astrocyte/rs1933801_profile_position.png",4,220,900)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-0.0387934972</v>
      </c>
      <c r="G3568" t="n">
        <v>0.3309833142110964</v>
      </c>
      <c r="H3568" t="n">
        <v>0.014739089509359</v>
      </c>
      <c r="I3568" t="n">
        <v>0.3360906061865097</v>
      </c>
      <c r="J3568" t="n">
        <v>0.00790879150224</v>
      </c>
      <c r="K3568" t="n">
        <v>0.6894708963424279</v>
      </c>
      <c r="L3568" t="b">
        <v>0</v>
      </c>
      <c r="M3568" t="b">
        <v>0</v>
      </c>
      <c r="N3568" t="inlineStr">
        <is>
          <t>ref</t>
        </is>
      </c>
      <c r="O3568" t="n">
        <v>-55</v>
      </c>
      <c r="P3568" t="n">
        <v>0.01332</v>
      </c>
      <c r="Q3568" t="n">
        <v>-65</v>
      </c>
      <c r="R3568" t="n">
        <v>0.095</v>
      </c>
      <c r="S3568">
        <f>IMAGE("https://mitra.stanford.edu/kundaje/oak/projects/neuro-variants/variant_position/credible/roussos_2024/variant_figures/roussos_2024.adolescence.Astrocyte/rs9391254_count_position.png",4,220,900)</f>
        <v/>
      </c>
      <c r="T3568">
        <f>IMAGE("https://mitra.stanford.edu/kundaje/oak/projects/neuro-variants/variant_position/credible/roussos_2024/variant_figures/roussos_2024.adolescence.Astrocyte/rs9391254_profile_position.png",4,220,900)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-0.1151628616</v>
      </c>
      <c r="G3569" t="n">
        <v>0.0687303367310944</v>
      </c>
      <c r="H3569" t="n">
        <v>0.0144730035873772</v>
      </c>
      <c r="I3569" t="n">
        <v>0.3619137532358409</v>
      </c>
      <c r="J3569" t="n">
        <v>0.006710085155624</v>
      </c>
      <c r="K3569" t="n">
        <v>0.7341298878850547</v>
      </c>
      <c r="L3569" t="b">
        <v>0</v>
      </c>
      <c r="M3569" t="b">
        <v>0</v>
      </c>
      <c r="N3569" t="inlineStr">
        <is>
          <t>ref</t>
        </is>
      </c>
      <c r="O3569" t="n">
        <v>-85</v>
      </c>
      <c r="P3569" t="n">
        <v>0.004517</v>
      </c>
      <c r="Q3569" t="n">
        <v>-65</v>
      </c>
      <c r="R3569" t="n">
        <v>0.05835</v>
      </c>
      <c r="S3569">
        <f>IMAGE("https://mitra.stanford.edu/kundaje/oak/projects/neuro-variants/variant_position/credible/roussos_2024/variant_figures/roussos_2024.adolescence.Astrocyte/rs7759938_count_position.png",4,220,900)</f>
        <v/>
      </c>
      <c r="T3569">
        <f>IMAGE("https://mitra.stanford.edu/kundaje/oak/projects/neuro-variants/variant_position/credible/roussos_2024/variant_figures/roussos_2024.adolescence.Astrocyte/rs7759938_profile_position.png",4,220,900)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-0.1266768076</v>
      </c>
      <c r="G3570" t="n">
        <v>0.0623556971774037</v>
      </c>
      <c r="H3570" t="n">
        <v>0.0209524626602073</v>
      </c>
      <c r="I3570" t="n">
        <v>0.1248260458386061</v>
      </c>
      <c r="J3570" t="n">
        <v>0.0276251372281398</v>
      </c>
      <c r="K3570" t="n">
        <v>0.5238640194135112</v>
      </c>
      <c r="L3570" t="b">
        <v>0</v>
      </c>
      <c r="M3570" t="b">
        <v>0</v>
      </c>
      <c r="N3570" t="inlineStr">
        <is>
          <t>ref</t>
        </is>
      </c>
      <c r="O3570" t="n">
        <v>-75</v>
      </c>
      <c r="P3570" t="n">
        <v>0.00984</v>
      </c>
      <c r="Q3570" t="n">
        <v>45</v>
      </c>
      <c r="R3570" t="n">
        <v>0.0578</v>
      </c>
      <c r="S3570">
        <f>IMAGE("https://mitra.stanford.edu/kundaje/oak/projects/neuro-variants/variant_position/credible/roussos_2024/variant_figures/roussos_2024.adolescence.Astrocyte/rs314265_count_position.png",4,220,900)</f>
        <v/>
      </c>
      <c r="T3570">
        <f>IMAGE("https://mitra.stanford.edu/kundaje/oak/projects/neuro-variants/variant_position/credible/roussos_2024/variant_figures/roussos_2024.adolescence.Astrocyte/rs314265_profile_position.png",4,220,900)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0.01325295086</v>
      </c>
      <c r="G3571" t="n">
        <v>0.6774659415540113</v>
      </c>
      <c r="H3571" t="n">
        <v>0.0266904288341563</v>
      </c>
      <c r="I3571" t="n">
        <v>0.0497053573553441</v>
      </c>
      <c r="J3571" t="n">
        <v>0.0002507195205174</v>
      </c>
      <c r="K3571" t="n">
        <v>0.9484062639149512</v>
      </c>
      <c r="L3571" t="b">
        <v>0</v>
      </c>
      <c r="M3571" t="b">
        <v>0</v>
      </c>
      <c r="N3571" t="inlineStr">
        <is>
          <t>alt</t>
        </is>
      </c>
      <c r="O3571" t="n">
        <v>100</v>
      </c>
      <c r="P3571" t="n">
        <v>0.02972</v>
      </c>
      <c r="Q3571" t="n">
        <v>-100</v>
      </c>
      <c r="R3571" t="n">
        <v>0.07056</v>
      </c>
      <c r="S3571">
        <f>IMAGE("https://mitra.stanford.edu/kundaje/oak/projects/neuro-variants/variant_position/credible/roussos_2024/variant_figures/roussos_2024.adolescence.Astrocyte/rs314275_count_position.png",4,220,900)</f>
        <v/>
      </c>
      <c r="T3571">
        <f>IMAGE("https://mitra.stanford.edu/kundaje/oak/projects/neuro-variants/variant_position/credible/roussos_2024/variant_figures/roussos_2024.adolescence.Astrocyte/rs314275_profile_position.png",4,220,900)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0.2016487159999999</v>
      </c>
      <c r="G3572" t="n">
        <v>0.017691081430814</v>
      </c>
      <c r="H3572" t="n">
        <v>0.0253284271554172</v>
      </c>
      <c r="I3572" t="n">
        <v>0.0612348509750114</v>
      </c>
      <c r="J3572" t="n">
        <v>0.0049305699789335</v>
      </c>
      <c r="K3572" t="n">
        <v>0.7535417674281115</v>
      </c>
      <c r="L3572" t="b">
        <v>1</v>
      </c>
      <c r="M3572" t="b">
        <v>0</v>
      </c>
      <c r="N3572" t="inlineStr">
        <is>
          <t>alt</t>
        </is>
      </c>
      <c r="O3572" t="n">
        <v>-90</v>
      </c>
      <c r="P3572" t="n">
        <v>0.01297</v>
      </c>
      <c r="Q3572" t="n">
        <v>-30</v>
      </c>
      <c r="R3572" t="n">
        <v>0.09959999999999999</v>
      </c>
      <c r="S3572">
        <f>IMAGE("https://mitra.stanford.edu/kundaje/oak/projects/neuro-variants/variant_position/credible/roussos_2024/variant_figures/roussos_2024.adolescence.Astrocyte/rs314261_count_position.png",4,220,900)</f>
        <v/>
      </c>
      <c r="T3572">
        <f>IMAGE("https://mitra.stanford.edu/kundaje/oak/projects/neuro-variants/variant_position/credible/roussos_2024/variant_figures/roussos_2024.adolescence.Astrocyte/rs314261_profile_position.png",4,220,900)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-0.009588402960000001</v>
      </c>
      <c r="G3573" t="n">
        <v>0.7535297631852744</v>
      </c>
      <c r="H3573" t="n">
        <v>0.0425326218716438</v>
      </c>
      <c r="I3573" t="n">
        <v>0.0074626222505635</v>
      </c>
      <c r="J3573" t="n">
        <v>0.0066411001987952</v>
      </c>
      <c r="K3573" t="n">
        <v>0.7100721866491031</v>
      </c>
      <c r="L3573" t="b">
        <v>0</v>
      </c>
      <c r="M3573" t="b">
        <v>0</v>
      </c>
      <c r="N3573" t="inlineStr">
        <is>
          <t>ref</t>
        </is>
      </c>
      <c r="O3573" t="n">
        <v>-100</v>
      </c>
      <c r="P3573" t="n">
        <v>0.009429999999999999</v>
      </c>
      <c r="Q3573" t="n">
        <v>70</v>
      </c>
      <c r="R3573" t="n">
        <v>0.08513999999999999</v>
      </c>
      <c r="S3573">
        <f>IMAGE("https://mitra.stanford.edu/kundaje/oak/projects/neuro-variants/variant_position/credible/roussos_2024/variant_figures/roussos_2024.adolescence.Astrocyte/rs314260_count_position.png",4,220,900)</f>
        <v/>
      </c>
      <c r="T3573">
        <f>IMAGE("https://mitra.stanford.edu/kundaje/oak/projects/neuro-variants/variant_position/credible/roussos_2024/variant_figures/roussos_2024.adolescence.Astrocyte/rs314260_profile_position.png",4,220,900)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-0.0653390544</v>
      </c>
      <c r="G3574" t="n">
        <v>0.1846207565208281</v>
      </c>
      <c r="H3574" t="n">
        <v>0.0264652467007114</v>
      </c>
      <c r="I3574" t="n">
        <v>0.0539703230015935</v>
      </c>
      <c r="J3574" t="n">
        <v>0.0070001186837966</v>
      </c>
      <c r="K3574" t="n">
        <v>0.7056885106360637</v>
      </c>
      <c r="L3574" t="b">
        <v>0</v>
      </c>
      <c r="M3574" t="b">
        <v>0</v>
      </c>
      <c r="N3574" t="inlineStr">
        <is>
          <t>ref</t>
        </is>
      </c>
      <c r="O3574" t="n">
        <v>-100</v>
      </c>
      <c r="P3574" t="n">
        <v>0.1138</v>
      </c>
      <c r="Q3574" t="n">
        <v>-100</v>
      </c>
      <c r="R3574" t="n">
        <v>0.357</v>
      </c>
      <c r="S3574">
        <f>IMAGE("https://mitra.stanford.edu/kundaje/oak/projects/neuro-variants/variant_position/credible/roussos_2024/variant_figures/roussos_2024.adolescence.Astrocyte/rs191135_count_position.png",4,220,900)</f>
        <v/>
      </c>
      <c r="T3574">
        <f>IMAGE("https://mitra.stanford.edu/kundaje/oak/projects/neuro-variants/variant_position/credible/roussos_2024/variant_figures/roussos_2024.adolescence.Astrocyte/rs191135_profile_position.png",4,220,900)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-0.292590978</v>
      </c>
      <c r="G3575" t="n">
        <v>0.0068846864102998</v>
      </c>
      <c r="H3575" t="n">
        <v>0.0511446833336856</v>
      </c>
      <c r="I3575" t="n">
        <v>0.0037207874783463</v>
      </c>
      <c r="J3575" t="n">
        <v>0.0342469513099723</v>
      </c>
      <c r="K3575" t="n">
        <v>0.5055774113367573</v>
      </c>
      <c r="L3575" t="b">
        <v>1</v>
      </c>
      <c r="M3575" t="b">
        <v>1</v>
      </c>
      <c r="N3575" t="inlineStr">
        <is>
          <t>ref</t>
        </is>
      </c>
      <c r="O3575" t="n">
        <v>75</v>
      </c>
      <c r="P3575" t="n">
        <v>0.005753</v>
      </c>
      <c r="Q3575" t="n">
        <v>-60</v>
      </c>
      <c r="R3575" t="n">
        <v>0.2174</v>
      </c>
      <c r="S3575">
        <f>IMAGE("https://mitra.stanford.edu/kundaje/oak/projects/neuro-variants/variant_position/credible/roussos_2024/variant_figures/roussos_2024.adolescence.Astrocyte/rs6909292_count_position.png",4,220,900)</f>
        <v/>
      </c>
      <c r="T3575">
        <f>IMAGE("https://mitra.stanford.edu/kundaje/oak/projects/neuro-variants/variant_position/credible/roussos_2024/variant_figures/roussos_2024.adolescence.Astrocyte/rs6909292_profile_position.png",4,220,900)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0.0028989187</v>
      </c>
      <c r="G3576" t="n">
        <v>0.7168116700326193</v>
      </c>
      <c r="H3576" t="n">
        <v>0.009119784277986801</v>
      </c>
      <c r="I3576" t="n">
        <v>0.8470031134064071</v>
      </c>
      <c r="J3576" t="n">
        <v>0.0198884372311069</v>
      </c>
      <c r="K3576" t="n">
        <v>0.5689753885100274</v>
      </c>
      <c r="L3576" t="b">
        <v>0</v>
      </c>
      <c r="M3576" t="b">
        <v>0</v>
      </c>
      <c r="N3576" t="inlineStr">
        <is>
          <t>alt</t>
        </is>
      </c>
      <c r="O3576" t="n">
        <v>5</v>
      </c>
      <c r="P3576" t="n">
        <v>0.0001984</v>
      </c>
      <c r="Q3576" t="n">
        <v>-100</v>
      </c>
      <c r="R3576" t="n">
        <v>0.3755</v>
      </c>
      <c r="S3576">
        <f>IMAGE("https://mitra.stanford.edu/kundaje/oak/projects/neuro-variants/variant_position/credible/roussos_2024/variant_figures/roussos_2024.adolescence.Astrocyte/rs7741285_count_position.png",4,220,900)</f>
        <v/>
      </c>
      <c r="T3576">
        <f>IMAGE("https://mitra.stanford.edu/kundaje/oak/projects/neuro-variants/variant_position/credible/roussos_2024/variant_figures/roussos_2024.adolescence.Astrocyte/rs7741285_profile_position.png",4,220,900)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-0.032478994</v>
      </c>
      <c r="G3577" t="n">
        <v>0.3751236151543476</v>
      </c>
      <c r="H3577" t="n">
        <v>0.0130043308853724</v>
      </c>
      <c r="I3577" t="n">
        <v>0.4606978099579598</v>
      </c>
      <c r="J3577" t="n">
        <v>0.0001987953594634</v>
      </c>
      <c r="K3577" t="n">
        <v>0.9574369401645724</v>
      </c>
      <c r="L3577" t="b">
        <v>0</v>
      </c>
      <c r="M3577" t="b">
        <v>0</v>
      </c>
      <c r="N3577" t="inlineStr">
        <is>
          <t>ref</t>
        </is>
      </c>
      <c r="O3577" t="n">
        <v>-35</v>
      </c>
      <c r="P3577" t="n">
        <v>0.006958</v>
      </c>
      <c r="Q3577" t="n">
        <v>-65</v>
      </c>
      <c r="R3577" t="n">
        <v>0.0212</v>
      </c>
      <c r="S3577">
        <f>IMAGE("https://mitra.stanford.edu/kundaje/oak/projects/neuro-variants/variant_position/credible/roussos_2024/variant_figures/roussos_2024.adolescence.Astrocyte/rs9400146_count_position.png",4,220,900)</f>
        <v/>
      </c>
      <c r="T3577">
        <f>IMAGE("https://mitra.stanford.edu/kundaje/oak/projects/neuro-variants/variant_position/credible/roussos_2024/variant_figures/roussos_2024.adolescence.Astrocyte/rs9400146_profile_position.png",4,220,900)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-0.0752670456</v>
      </c>
      <c r="G3578" t="n">
        <v>0.1336735514964245</v>
      </c>
      <c r="H3578" t="n">
        <v>0.0117273388981675</v>
      </c>
      <c r="I3578" t="n">
        <v>0.5857024667856</v>
      </c>
      <c r="J3578" t="n">
        <v>0.1121836335044357</v>
      </c>
      <c r="K3578" t="n">
        <v>0.3035499294056819</v>
      </c>
      <c r="L3578" t="b">
        <v>0</v>
      </c>
      <c r="M3578" t="b">
        <v>0</v>
      </c>
      <c r="N3578" t="inlineStr">
        <is>
          <t>ref</t>
        </is>
      </c>
      <c r="O3578" t="n">
        <v>-45</v>
      </c>
      <c r="P3578" t="n">
        <v>0.003105</v>
      </c>
      <c r="Q3578" t="n">
        <v>5</v>
      </c>
      <c r="R3578" t="n">
        <v>0.01617</v>
      </c>
      <c r="S3578">
        <f>IMAGE("https://mitra.stanford.edu/kundaje/oak/projects/neuro-variants/variant_position/credible/roussos_2024/variant_figures/roussos_2024.adolescence.Astrocyte/rs75971958_count_position.png",4,220,900)</f>
        <v/>
      </c>
      <c r="T3578">
        <f>IMAGE("https://mitra.stanford.edu/kundaje/oak/projects/neuro-variants/variant_position/credible/roussos_2024/variant_figures/roussos_2024.adolescence.Astrocyte/rs75971958_profile_position.png",4,220,900)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-0.01192561136</v>
      </c>
      <c r="G3579" t="n">
        <v>0.6928231186791873</v>
      </c>
      <c r="H3579" t="n">
        <v>0.0368304261805638</v>
      </c>
      <c r="I3579" t="n">
        <v>0.0137627239224861</v>
      </c>
      <c r="J3579" t="n">
        <v>0.1488636026466486</v>
      </c>
      <c r="K3579" t="n">
        <v>0.2562954409821278</v>
      </c>
      <c r="L3579" t="b">
        <v>1</v>
      </c>
      <c r="M3579" t="b">
        <v>0</v>
      </c>
      <c r="N3579" t="inlineStr">
        <is>
          <t>ref</t>
        </is>
      </c>
      <c r="O3579" t="n">
        <v>-60</v>
      </c>
      <c r="P3579" t="n">
        <v>0.002304</v>
      </c>
      <c r="Q3579" t="n">
        <v>-65</v>
      </c>
      <c r="R3579" t="n">
        <v>0.05298</v>
      </c>
      <c r="S3579">
        <f>IMAGE("https://mitra.stanford.edu/kundaje/oak/projects/neuro-variants/variant_position/credible/roussos_2024/variant_figures/roussos_2024.adolescence.Astrocyte/rs75280747_count_position.png",4,220,900)</f>
        <v/>
      </c>
      <c r="T3579">
        <f>IMAGE("https://mitra.stanford.edu/kundaje/oak/projects/neuro-variants/variant_position/credible/roussos_2024/variant_figures/roussos_2024.adolescence.Astrocyte/rs75280747_profile_position.png",4,220,900)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-0.0833775234</v>
      </c>
      <c r="G3580" t="n">
        <v>0.1307437053028834</v>
      </c>
      <c r="H3580" t="n">
        <v>0.0162377976632256</v>
      </c>
      <c r="I3580" t="n">
        <v>0.2734357386857378</v>
      </c>
      <c r="J3580" t="n">
        <v>0.1000467317449484</v>
      </c>
      <c r="K3580" t="n">
        <v>0.3319588352126913</v>
      </c>
      <c r="L3580" t="b">
        <v>0</v>
      </c>
      <c r="M3580" t="b">
        <v>0</v>
      </c>
      <c r="N3580" t="inlineStr">
        <is>
          <t>ref</t>
        </is>
      </c>
      <c r="O3580" t="n">
        <v>-100</v>
      </c>
      <c r="P3580" t="n">
        <v>0.005478</v>
      </c>
      <c r="Q3580" t="n">
        <v>-15</v>
      </c>
      <c r="R3580" t="n">
        <v>0.03113</v>
      </c>
      <c r="S3580">
        <f>IMAGE("https://mitra.stanford.edu/kundaje/oak/projects/neuro-variants/variant_position/credible/roussos_2024/variant_figures/roussos_2024.adolescence.Astrocyte/rs9386678_count_position.png",4,220,900)</f>
        <v/>
      </c>
      <c r="T3580">
        <f>IMAGE("https://mitra.stanford.edu/kundaje/oak/projects/neuro-variants/variant_position/credible/roussos_2024/variant_figures/roussos_2024.adolescence.Astrocyte/rs9386678_profile_position.png",4,220,900)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-0.004156808206</v>
      </c>
      <c r="G3581" t="n">
        <v>0.823365074346265</v>
      </c>
      <c r="H3581" t="n">
        <v>0.0224078753286681</v>
      </c>
      <c r="I3581" t="n">
        <v>0.0951611154934482</v>
      </c>
      <c r="J3581" t="n">
        <v>0.0058941340533483</v>
      </c>
      <c r="K3581" t="n">
        <v>0.7229911466376164</v>
      </c>
      <c r="L3581" t="b">
        <v>0</v>
      </c>
      <c r="M3581" t="b">
        <v>0</v>
      </c>
      <c r="N3581" t="inlineStr">
        <is>
          <t>ref</t>
        </is>
      </c>
      <c r="O3581" t="n">
        <v>100</v>
      </c>
      <c r="P3581" t="n">
        <v>0.01665</v>
      </c>
      <c r="Q3581" t="n">
        <v>100</v>
      </c>
      <c r="R3581" t="n">
        <v>0.1624</v>
      </c>
      <c r="S3581">
        <f>IMAGE("https://mitra.stanford.edu/kundaje/oak/projects/neuro-variants/variant_position/credible/roussos_2024/variant_figures/roussos_2024.adolescence.Astrocyte/rs2355851_count_position.png",4,220,900)</f>
        <v/>
      </c>
      <c r="T3581">
        <f>IMAGE("https://mitra.stanford.edu/kundaje/oak/projects/neuro-variants/variant_position/credible/roussos_2024/variant_figures/roussos_2024.adolescence.Astrocyte/rs2355851_profile_position.png",4,220,900)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0.16861291</v>
      </c>
      <c r="G3582" t="n">
        <v>0.0262670920798589</v>
      </c>
      <c r="H3582" t="n">
        <v>0.0221018995891553</v>
      </c>
      <c r="I3582" t="n">
        <v>0.0993789483832942</v>
      </c>
      <c r="J3582" t="n">
        <v>0.1722769486395869</v>
      </c>
      <c r="K3582" t="n">
        <v>0.2289331056740396</v>
      </c>
      <c r="L3582" t="b">
        <v>0</v>
      </c>
      <c r="M3582" t="b">
        <v>0</v>
      </c>
      <c r="N3582" t="inlineStr">
        <is>
          <t>alt</t>
        </is>
      </c>
      <c r="O3582" t="n">
        <v>45</v>
      </c>
      <c r="P3582" t="n">
        <v>0.01682</v>
      </c>
      <c r="Q3582" t="n">
        <v>40</v>
      </c>
      <c r="R3582" t="n">
        <v>0.1553</v>
      </c>
      <c r="S3582">
        <f>IMAGE("https://mitra.stanford.edu/kundaje/oak/projects/neuro-variants/variant_position/credible/roussos_2024/variant_figures/roussos_2024.adolescence.Astrocyte/rs7762665_count_position.png",4,220,900)</f>
        <v/>
      </c>
      <c r="T3582">
        <f>IMAGE("https://mitra.stanford.edu/kundaje/oak/projects/neuro-variants/variant_position/credible/roussos_2024/variant_figures/roussos_2024.adolescence.Astrocyte/rs7762665_profile_position.png",4,220,900)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-0.0750270896</v>
      </c>
      <c r="G3583" t="n">
        <v>0.1539378370548803</v>
      </c>
      <c r="H3583" t="n">
        <v>0.0303252054781325</v>
      </c>
      <c r="I3583" t="n">
        <v>0.0351132415683135</v>
      </c>
      <c r="J3583" t="n">
        <v>0.0877332878378778</v>
      </c>
      <c r="K3583" t="n">
        <v>0.3580601629191055</v>
      </c>
      <c r="L3583" t="b">
        <v>0</v>
      </c>
      <c r="M3583" t="b">
        <v>0</v>
      </c>
      <c r="N3583" t="inlineStr">
        <is>
          <t>ref</t>
        </is>
      </c>
      <c r="O3583" t="n">
        <v>35</v>
      </c>
      <c r="P3583" t="n">
        <v>0.001087</v>
      </c>
      <c r="Q3583" t="n">
        <v>90</v>
      </c>
      <c r="R3583" t="n">
        <v>0.296</v>
      </c>
      <c r="S3583">
        <f>IMAGE("https://mitra.stanford.edu/kundaje/oak/projects/neuro-variants/variant_position/credible/roussos_2024/variant_figures/roussos_2024.adolescence.Astrocyte/rs6568544_count_position.png",4,220,900)</f>
        <v/>
      </c>
      <c r="T3583">
        <f>IMAGE("https://mitra.stanford.edu/kundaje/oak/projects/neuro-variants/variant_position/credible/roussos_2024/variant_figures/roussos_2024.adolescence.Astrocyte/rs6568544_profile_position.png",4,220,900)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0.1371342532</v>
      </c>
      <c r="G3584" t="n">
        <v>0.0471179803805903</v>
      </c>
      <c r="H3584" t="n">
        <v>0.0242685336490948</v>
      </c>
      <c r="I3584" t="n">
        <v>0.0791848693310203</v>
      </c>
      <c r="J3584" t="n">
        <v>0.1638340800522208</v>
      </c>
      <c r="K3584" t="n">
        <v>0.2433434860721828</v>
      </c>
      <c r="L3584" t="b">
        <v>0</v>
      </c>
      <c r="M3584" t="b">
        <v>0</v>
      </c>
      <c r="N3584" t="inlineStr">
        <is>
          <t>alt</t>
        </is>
      </c>
      <c r="O3584" t="n">
        <v>75</v>
      </c>
      <c r="P3584" t="n">
        <v>0.02081</v>
      </c>
      <c r="Q3584" t="n">
        <v>0</v>
      </c>
      <c r="R3584" t="n">
        <v>0</v>
      </c>
      <c r="S3584">
        <f>IMAGE("https://mitra.stanford.edu/kundaje/oak/projects/neuro-variants/variant_position/credible/roussos_2024/variant_figures/roussos_2024.adolescence.Astrocyte/rs78061564_count_position.png",4,220,900)</f>
        <v/>
      </c>
      <c r="T3584">
        <f>IMAGE("https://mitra.stanford.edu/kundaje/oak/projects/neuro-variants/variant_position/credible/roussos_2024/variant_figures/roussos_2024.adolescence.Astrocyte/rs78061564_profile_position.png",4,220,900)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-0.047412931</v>
      </c>
      <c r="G3585" t="n">
        <v>0.2544133338660371</v>
      </c>
      <c r="H3585" t="n">
        <v>0.0101332363986145</v>
      </c>
      <c r="I3585" t="n">
        <v>0.7341796165259058</v>
      </c>
      <c r="J3585" t="n">
        <v>0.0142746936474497</v>
      </c>
      <c r="K3585" t="n">
        <v>0.6184584230280573</v>
      </c>
      <c r="L3585" t="b">
        <v>0</v>
      </c>
      <c r="M3585" t="b">
        <v>0</v>
      </c>
      <c r="N3585" t="inlineStr">
        <is>
          <t>ref</t>
        </is>
      </c>
      <c r="O3585" t="n">
        <v>-70</v>
      </c>
      <c r="P3585" t="n">
        <v>0.006126</v>
      </c>
      <c r="Q3585" t="n">
        <v>40</v>
      </c>
      <c r="R3585" t="n">
        <v>0.06213</v>
      </c>
      <c r="S3585">
        <f>IMAGE("https://mitra.stanford.edu/kundaje/oak/projects/neuro-variants/variant_position/credible/roussos_2024/variant_figures/roussos_2024.adolescence.Astrocyte/rs9398172_count_position.png",4,220,900)</f>
        <v/>
      </c>
      <c r="T3585">
        <f>IMAGE("https://mitra.stanford.edu/kundaje/oak/projects/neuro-variants/variant_position/credible/roussos_2024/variant_figures/roussos_2024.adolescence.Astrocyte/rs9398172_profile_position.png",4,220,900)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0.0130570984</v>
      </c>
      <c r="G3586" t="n">
        <v>0.3844346242583486</v>
      </c>
      <c r="H3586" t="n">
        <v>0.0130657494754994</v>
      </c>
      <c r="I3586" t="n">
        <v>0.4541563746695697</v>
      </c>
      <c r="J3586" t="n">
        <v>0.0361674034952377</v>
      </c>
      <c r="K3586" t="n">
        <v>0.5076367972053565</v>
      </c>
      <c r="L3586" t="b">
        <v>0</v>
      </c>
      <c r="M3586" t="b">
        <v>0</v>
      </c>
      <c r="N3586" t="inlineStr">
        <is>
          <t>alt</t>
        </is>
      </c>
      <c r="O3586" t="n">
        <v>0</v>
      </c>
      <c r="P3586" t="n">
        <v>0</v>
      </c>
      <c r="Q3586" t="n">
        <v>20</v>
      </c>
      <c r="R3586" t="n">
        <v>0.0669</v>
      </c>
      <c r="S3586">
        <f>IMAGE("https://mitra.stanford.edu/kundaje/oak/projects/neuro-variants/variant_position/credible/roussos_2024/variant_figures/roussos_2024.adolescence.Astrocyte/rs3800228_count_position.png",4,220,900)</f>
        <v/>
      </c>
      <c r="T3586">
        <f>IMAGE("https://mitra.stanford.edu/kundaje/oak/projects/neuro-variants/variant_position/credible/roussos_2024/variant_figures/roussos_2024.adolescence.Astrocyte/rs3800228_profile_position.png",4,220,900)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0.0308664172</v>
      </c>
      <c r="G3587" t="n">
        <v>0.08182113738902851</v>
      </c>
      <c r="H3587" t="n">
        <v>0.0259701778217344</v>
      </c>
      <c r="I3587" t="n">
        <v>0.0556873486966551</v>
      </c>
      <c r="J3587" t="n">
        <v>0.0969157048333975</v>
      </c>
      <c r="K3587" t="n">
        <v>0.3461089075905912</v>
      </c>
      <c r="L3587" t="b">
        <v>0</v>
      </c>
      <c r="M3587" t="b">
        <v>0</v>
      </c>
      <c r="N3587" t="inlineStr">
        <is>
          <t>alt</t>
        </is>
      </c>
      <c r="O3587" t="n">
        <v>30</v>
      </c>
      <c r="P3587" t="n">
        <v>0.03412</v>
      </c>
      <c r="Q3587" t="n">
        <v>65</v>
      </c>
      <c r="R3587" t="n">
        <v>0.124</v>
      </c>
      <c r="S3587">
        <f>IMAGE("https://mitra.stanford.edu/kundaje/oak/projects/neuro-variants/variant_position/credible/roussos_2024/variant_figures/roussos_2024.adolescence.Astrocyte/rs9374040_count_position.png",4,220,900)</f>
        <v/>
      </c>
      <c r="T3587">
        <f>IMAGE("https://mitra.stanford.edu/kundaje/oak/projects/neuro-variants/variant_position/credible/roussos_2024/variant_figures/roussos_2024.adolescence.Astrocyte/rs9374040_profile_position.png",4,220,900)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-0.01161878886</v>
      </c>
      <c r="G3588" t="n">
        <v>0.7229202362013631</v>
      </c>
      <c r="H3588" t="n">
        <v>0.0225726037720797</v>
      </c>
      <c r="I3588" t="n">
        <v>0.09044046457225879</v>
      </c>
      <c r="J3588" t="n">
        <v>0.0773988962406907</v>
      </c>
      <c r="K3588" t="n">
        <v>0.3895132934175487</v>
      </c>
      <c r="L3588" t="b">
        <v>0</v>
      </c>
      <c r="M3588" t="b">
        <v>0</v>
      </c>
      <c r="N3588" t="inlineStr">
        <is>
          <t>ref</t>
        </is>
      </c>
      <c r="O3588" t="n">
        <v>-65</v>
      </c>
      <c r="P3588" t="n">
        <v>0.02841</v>
      </c>
      <c r="Q3588" t="n">
        <v>-100</v>
      </c>
      <c r="R3588" t="n">
        <v>0.3523</v>
      </c>
      <c r="S3588">
        <f>IMAGE("https://mitra.stanford.edu/kundaje/oak/projects/neuro-variants/variant_position/credible/roussos_2024/variant_figures/roussos_2024.adolescence.Astrocyte/rs9400240_count_position.png",4,220,900)</f>
        <v/>
      </c>
      <c r="T3588">
        <f>IMAGE("https://mitra.stanford.edu/kundaje/oak/projects/neuro-variants/variant_position/credible/roussos_2024/variant_figures/roussos_2024.adolescence.Astrocyte/rs9400240_profile_position.png",4,220,900)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0.2264000639999999</v>
      </c>
      <c r="G3589" t="n">
        <v>0.0125802303833256</v>
      </c>
      <c r="H3589" t="n">
        <v>0.0334068025120696</v>
      </c>
      <c r="I3589" t="n">
        <v>0.0210731870725932</v>
      </c>
      <c r="J3589" t="n">
        <v>0.06910141530427551</v>
      </c>
      <c r="K3589" t="n">
        <v>0.4095091196857133</v>
      </c>
      <c r="L3589" t="b">
        <v>1</v>
      </c>
      <c r="M3589" t="b">
        <v>0</v>
      </c>
      <c r="N3589" t="inlineStr">
        <is>
          <t>alt</t>
        </is>
      </c>
      <c r="O3589" t="n">
        <v>-90</v>
      </c>
      <c r="P3589" t="n">
        <v>0.008156</v>
      </c>
      <c r="Q3589" t="n">
        <v>25</v>
      </c>
      <c r="R3589" t="n">
        <v>0.079</v>
      </c>
      <c r="S3589">
        <f>IMAGE("https://mitra.stanford.edu/kundaje/oak/projects/neuro-variants/variant_position/credible/roussos_2024/variant_figures/roussos_2024.adolescence.Astrocyte/rs3800231_count_position.png",4,220,900)</f>
        <v/>
      </c>
      <c r="T3589">
        <f>IMAGE("https://mitra.stanford.edu/kundaje/oak/projects/neuro-variants/variant_position/credible/roussos_2024/variant_figures/roussos_2024.adolescence.Astrocyte/rs3800231_profile_position.png",4,220,900)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-0.02637819714</v>
      </c>
      <c r="G3590" t="n">
        <v>0.4628121456633911</v>
      </c>
      <c r="H3590" t="n">
        <v>0.0152528525393372</v>
      </c>
      <c r="I3590" t="n">
        <v>0.3163731867010764</v>
      </c>
      <c r="J3590" t="n">
        <v>0.1784225439871821</v>
      </c>
      <c r="K3590" t="n">
        <v>0.2290675727555201</v>
      </c>
      <c r="L3590" t="b">
        <v>0</v>
      </c>
      <c r="M3590" t="b">
        <v>0</v>
      </c>
      <c r="N3590" t="inlineStr">
        <is>
          <t>ref</t>
        </is>
      </c>
      <c r="O3590" t="n">
        <v>-15</v>
      </c>
      <c r="P3590" t="n">
        <v>0.000992</v>
      </c>
      <c r="Q3590" t="n">
        <v>-50</v>
      </c>
      <c r="R3590" t="n">
        <v>0.08495999999999999</v>
      </c>
      <c r="S3590">
        <f>IMAGE("https://mitra.stanford.edu/kundaje/oak/projects/neuro-variants/variant_position/credible/roussos_2024/variant_figures/roussos_2024.adolescence.Astrocyte/rs9400241_count_position.png",4,220,900)</f>
        <v/>
      </c>
      <c r="T3590">
        <f>IMAGE("https://mitra.stanford.edu/kundaje/oak/projects/neuro-variants/variant_position/credible/roussos_2024/variant_figures/roussos_2024.adolescence.Astrocyte/rs9400241_profile_position.png",4,220,900)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-0.0159814103</v>
      </c>
      <c r="G3591" t="n">
        <v>0.6062657742323346</v>
      </c>
      <c r="H3591" t="n">
        <v>0.0334301574445586</v>
      </c>
      <c r="I3591" t="n">
        <v>0.0201289103284507</v>
      </c>
      <c r="J3591" t="n">
        <v>0.0002314334035545</v>
      </c>
      <c r="K3591" t="n">
        <v>0.9516116280686016</v>
      </c>
      <c r="L3591" t="b">
        <v>0</v>
      </c>
      <c r="M3591" t="b">
        <v>0</v>
      </c>
      <c r="N3591" t="inlineStr">
        <is>
          <t>ref</t>
        </is>
      </c>
      <c r="O3591" t="n">
        <v>10</v>
      </c>
      <c r="P3591" t="n">
        <v>0.00238</v>
      </c>
      <c r="Q3591" t="n">
        <v>0</v>
      </c>
      <c r="R3591" t="n">
        <v>0</v>
      </c>
      <c r="S3591">
        <f>IMAGE("https://mitra.stanford.edu/kundaje/oak/projects/neuro-variants/variant_position/credible/roussos_2024/variant_figures/roussos_2024.adolescence.Astrocyte/rs112540208_count_position.png",4,220,900)</f>
        <v/>
      </c>
      <c r="T3591">
        <f>IMAGE("https://mitra.stanford.edu/kundaje/oak/projects/neuro-variants/variant_position/credible/roussos_2024/variant_figures/roussos_2024.adolescence.Astrocyte/rs112540208_profile_position.png",4,220,900)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0.0172245735</v>
      </c>
      <c r="G3592" t="n">
        <v>0.5558125135049472</v>
      </c>
      <c r="H3592" t="n">
        <v>0.0117321707864102</v>
      </c>
      <c r="I3592" t="n">
        <v>0.5815901944691406</v>
      </c>
      <c r="J3592" t="n">
        <v>0.0108810788357119</v>
      </c>
      <c r="K3592" t="n">
        <v>0.6499258162889886</v>
      </c>
      <c r="L3592" t="b">
        <v>0</v>
      </c>
      <c r="M3592" t="b">
        <v>0</v>
      </c>
      <c r="N3592" t="inlineStr">
        <is>
          <t>alt</t>
        </is>
      </c>
      <c r="O3592" t="n">
        <v>100</v>
      </c>
      <c r="P3592" t="n">
        <v>0.1059</v>
      </c>
      <c r="Q3592" t="n">
        <v>-35</v>
      </c>
      <c r="R3592" t="n">
        <v>0.0231</v>
      </c>
      <c r="S3592">
        <f>IMAGE("https://mitra.stanford.edu/kundaje/oak/projects/neuro-variants/variant_position/credible/roussos_2024/variant_figures/roussos_2024.adolescence.Astrocyte/rs9320364_count_position.png",4,220,900)</f>
        <v/>
      </c>
      <c r="T3592">
        <f>IMAGE("https://mitra.stanford.edu/kundaje/oak/projects/neuro-variants/variant_position/credible/roussos_2024/variant_figures/roussos_2024.adolescence.Astrocyte/rs9320364_profile_position.png",4,220,900)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0.0483560612</v>
      </c>
      <c r="G3593" t="n">
        <v>0.2436540636860161</v>
      </c>
      <c r="H3593" t="n">
        <v>0.078416129704204</v>
      </c>
      <c r="I3593" t="n">
        <v>0.0007763050172370001</v>
      </c>
      <c r="J3593" t="n">
        <v>0.0174227813547755</v>
      </c>
      <c r="K3593" t="n">
        <v>0.6089170521234579</v>
      </c>
      <c r="L3593" t="b">
        <v>1</v>
      </c>
      <c r="M3593" t="b">
        <v>0</v>
      </c>
      <c r="N3593" t="inlineStr">
        <is>
          <t>alt</t>
        </is>
      </c>
      <c r="O3593" t="n">
        <v>-100</v>
      </c>
      <c r="P3593" t="n">
        <v>0.010925</v>
      </c>
      <c r="Q3593" t="n">
        <v>85</v>
      </c>
      <c r="R3593" t="n">
        <v>0.05276</v>
      </c>
      <c r="S3593">
        <f>IMAGE("https://mitra.stanford.edu/kundaje/oak/projects/neuro-variants/variant_position/credible/roussos_2024/variant_figures/roussos_2024.adolescence.Astrocyte/rs7746225_count_position.png",4,220,900)</f>
        <v/>
      </c>
      <c r="T3593">
        <f>IMAGE("https://mitra.stanford.edu/kundaje/oak/projects/neuro-variants/variant_position/credible/roussos_2024/variant_figures/roussos_2024.adolescence.Astrocyte/rs7746225_profile_position.png",4,220,900)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0.0008194237399999</v>
      </c>
      <c r="G3594" t="n">
        <v>0.7699549946691006</v>
      </c>
      <c r="H3594" t="n">
        <v>0.037949908642277</v>
      </c>
      <c r="I3594" t="n">
        <v>0.0120787476740673</v>
      </c>
      <c r="J3594" t="n">
        <v>0.0195271934249176</v>
      </c>
      <c r="K3594" t="n">
        <v>0.5932987359185051</v>
      </c>
      <c r="L3594" t="b">
        <v>1</v>
      </c>
      <c r="M3594" t="b">
        <v>0</v>
      </c>
      <c r="N3594" t="inlineStr">
        <is>
          <t>alt</t>
        </is>
      </c>
      <c r="O3594" t="n">
        <v>-40</v>
      </c>
      <c r="P3594" t="n">
        <v>0.0004578</v>
      </c>
      <c r="Q3594" t="n">
        <v>-100</v>
      </c>
      <c r="R3594" t="n">
        <v>0.05725</v>
      </c>
      <c r="S3594">
        <f>IMAGE("https://mitra.stanford.edu/kundaje/oak/projects/neuro-variants/variant_position/credible/roussos_2024/variant_figures/roussos_2024.adolescence.Astrocyte/rs9487653_count_position.png",4,220,900)</f>
        <v/>
      </c>
      <c r="T3594">
        <f>IMAGE("https://mitra.stanford.edu/kundaje/oak/projects/neuro-variants/variant_position/credible/roussos_2024/variant_figures/roussos_2024.adolescence.Astrocyte/rs9487653_profile_position.png",4,220,900)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-0.0434021576</v>
      </c>
      <c r="G3595" t="n">
        <v>0.2828013362866804</v>
      </c>
      <c r="H3595" t="n">
        <v>0.0480443604502188</v>
      </c>
      <c r="I3595" t="n">
        <v>0.004549954111733</v>
      </c>
      <c r="J3595" t="n">
        <v>0.0094353618372251</v>
      </c>
      <c r="K3595" t="n">
        <v>0.6623030693383776</v>
      </c>
      <c r="L3595" t="b">
        <v>0</v>
      </c>
      <c r="M3595" t="b">
        <v>0</v>
      </c>
      <c r="N3595" t="inlineStr">
        <is>
          <t>ref</t>
        </is>
      </c>
      <c r="O3595" t="n">
        <v>30</v>
      </c>
      <c r="P3595" t="n">
        <v>0.003357</v>
      </c>
      <c r="Q3595" t="n">
        <v>-100</v>
      </c>
      <c r="R3595" t="n">
        <v>0.07240000000000001</v>
      </c>
      <c r="S3595">
        <f>IMAGE("https://mitra.stanford.edu/kundaje/oak/projects/neuro-variants/variant_position/credible/roussos_2024/variant_figures/roussos_2024.adolescence.Astrocyte/rs9320366_count_position.png",4,220,900)</f>
        <v/>
      </c>
      <c r="T3595">
        <f>IMAGE("https://mitra.stanford.edu/kundaje/oak/projects/neuro-variants/variant_position/credible/roussos_2024/variant_figures/roussos_2024.adolescence.Astrocyte/rs9320366_profile_position.png",4,220,900)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0.349809008</v>
      </c>
      <c r="G3596" t="n">
        <v>0.0038785441322219</v>
      </c>
      <c r="H3596" t="n">
        <v>0.0307394481207376</v>
      </c>
      <c r="I3596" t="n">
        <v>0.0285275734877883</v>
      </c>
      <c r="J3596" t="n">
        <v>0.1171906061774915</v>
      </c>
      <c r="K3596" t="n">
        <v>0.2956365439229764</v>
      </c>
      <c r="L3596" t="b">
        <v>1</v>
      </c>
      <c r="M3596" t="b">
        <v>1</v>
      </c>
      <c r="N3596" t="inlineStr">
        <is>
          <t>alt</t>
        </is>
      </c>
      <c r="O3596" t="n">
        <v>-55</v>
      </c>
      <c r="P3596" t="n">
        <v>0.003365</v>
      </c>
      <c r="Q3596" t="n">
        <v>-100</v>
      </c>
      <c r="R3596" t="n">
        <v>0.04895</v>
      </c>
      <c r="S3596">
        <f>IMAGE("https://mitra.stanford.edu/kundaje/oak/projects/neuro-variants/variant_position/credible/roussos_2024/variant_figures/roussos_2024.adolescence.Astrocyte/rs4945884_count_position.png",4,220,900)</f>
        <v/>
      </c>
      <c r="T3596">
        <f>IMAGE("https://mitra.stanford.edu/kundaje/oak/projects/neuro-variants/variant_position/credible/roussos_2024/variant_figures/roussos_2024.adolescence.Astrocyte/rs4945884_profile_position.png",4,220,900)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-0.222752648</v>
      </c>
      <c r="G3597" t="n">
        <v>0.0145815634004769</v>
      </c>
      <c r="H3597" t="n">
        <v>0.0242110795012285</v>
      </c>
      <c r="I3597" t="n">
        <v>0.07466105649783671</v>
      </c>
      <c r="J3597" t="n">
        <v>0.6004346794053941</v>
      </c>
      <c r="K3597" t="n">
        <v>0.0324086549801176</v>
      </c>
      <c r="L3597" t="b">
        <v>1</v>
      </c>
      <c r="M3597" t="b">
        <v>0</v>
      </c>
      <c r="N3597" t="inlineStr">
        <is>
          <t>ref</t>
        </is>
      </c>
      <c r="O3597" t="n">
        <v>-55</v>
      </c>
      <c r="P3597" t="n">
        <v>0.00402</v>
      </c>
      <c r="Q3597" t="n">
        <v>-55</v>
      </c>
      <c r="R3597" t="n">
        <v>0.2075</v>
      </c>
      <c r="S3597">
        <f>IMAGE("https://mitra.stanford.edu/kundaje/oak/projects/neuro-variants/variant_position/credible/roussos_2024/variant_figures/roussos_2024.adolescence.Astrocyte/rs12214623_count_position.png",4,220,900)</f>
        <v/>
      </c>
      <c r="T3597">
        <f>IMAGE("https://mitra.stanford.edu/kundaje/oak/projects/neuro-variants/variant_position/credible/roussos_2024/variant_figures/roussos_2024.adolescence.Astrocyte/rs12214623_profile_position.png",4,220,900)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-0.2130864988</v>
      </c>
      <c r="G3598" t="n">
        <v>0.0255567954178894</v>
      </c>
      <c r="H3598" t="n">
        <v>0.0214085794503772</v>
      </c>
      <c r="I3598" t="n">
        <v>0.1157375602376744</v>
      </c>
      <c r="J3598" t="n">
        <v>0.0406313977984155</v>
      </c>
      <c r="K3598" t="n">
        <v>0.4838492281201481</v>
      </c>
      <c r="L3598" t="b">
        <v>0</v>
      </c>
      <c r="M3598" t="b">
        <v>0</v>
      </c>
      <c r="N3598" t="inlineStr">
        <is>
          <t>ref</t>
        </is>
      </c>
      <c r="O3598" t="n">
        <v>-35</v>
      </c>
      <c r="P3598" t="n">
        <v>0.05304</v>
      </c>
      <c r="Q3598" t="n">
        <v>15</v>
      </c>
      <c r="R3598" t="n">
        <v>0.03223</v>
      </c>
      <c r="S3598">
        <f>IMAGE("https://mitra.stanford.edu/kundaje/oak/projects/neuro-variants/variant_position/credible/roussos_2024/variant_figures/roussos_2024.adolescence.Astrocyte/rs1592148_count_position.png",4,220,900)</f>
        <v/>
      </c>
      <c r="T3598">
        <f>IMAGE("https://mitra.stanford.edu/kundaje/oak/projects/neuro-variants/variant_position/credible/roussos_2024/variant_figures/roussos_2024.adolescence.Astrocyte/rs1592148_profile_position.png",4,220,900)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-0.115748927</v>
      </c>
      <c r="G3599" t="n">
        <v>0.0705565355861649</v>
      </c>
      <c r="H3599" t="n">
        <v>0.0146410395432373</v>
      </c>
      <c r="I3599" t="n">
        <v>0.3504281892328855</v>
      </c>
      <c r="J3599" t="n">
        <v>7.862801531019852e-05</v>
      </c>
      <c r="K3599" t="n">
        <v>0.9866971682978186</v>
      </c>
      <c r="L3599" t="b">
        <v>0</v>
      </c>
      <c r="M3599" t="b">
        <v>0</v>
      </c>
      <c r="N3599" t="inlineStr">
        <is>
          <t>ref</t>
        </is>
      </c>
      <c r="O3599" t="n">
        <v>100</v>
      </c>
      <c r="P3599" t="n">
        <v>0.00463</v>
      </c>
      <c r="Q3599" t="n">
        <v>70</v>
      </c>
      <c r="R3599" t="n">
        <v>0.0745</v>
      </c>
      <c r="S3599">
        <f>IMAGE("https://mitra.stanford.edu/kundaje/oak/projects/neuro-variants/variant_position/credible/roussos_2024/variant_figures/roussos_2024.adolescence.Astrocyte/rs6568750_count_position.png",4,220,900)</f>
        <v/>
      </c>
      <c r="T3599">
        <f>IMAGE("https://mitra.stanford.edu/kundaje/oak/projects/neuro-variants/variant_position/credible/roussos_2024/variant_figures/roussos_2024.adolescence.Astrocyte/rs6568750_profile_position.png",4,220,900)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-0.125038191</v>
      </c>
      <c r="G3600" t="n">
        <v>0.0645692415539203</v>
      </c>
      <c r="H3600" t="n">
        <v>0.0195105990356727</v>
      </c>
      <c r="I3600" t="n">
        <v>0.1552991063204341</v>
      </c>
      <c r="J3600" t="n">
        <v>0.009281072901522001</v>
      </c>
      <c r="K3600" t="n">
        <v>0.6655113587700934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0.008026</v>
      </c>
      <c r="Q3600" t="n">
        <v>-45</v>
      </c>
      <c r="R3600" t="n">
        <v>0.04395</v>
      </c>
      <c r="S3600">
        <f>IMAGE("https://mitra.stanford.edu/kundaje/oak/projects/neuro-variants/variant_position/credible/roussos_2024/variant_figures/roussos_2024.adolescence.Astrocyte/rs7738702_count_position.png",4,220,900)</f>
        <v/>
      </c>
      <c r="T3600">
        <f>IMAGE("https://mitra.stanford.edu/kundaje/oak/projects/neuro-variants/variant_position/credible/roussos_2024/variant_figures/roussos_2024.adolescence.Astrocyte/rs7738702_profile_position.png",4,220,900)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0.0274048835999999</v>
      </c>
      <c r="G3601" t="n">
        <v>0.4502575420580178</v>
      </c>
      <c r="H3601" t="n">
        <v>0.0097566551375697</v>
      </c>
      <c r="I3601" t="n">
        <v>0.7699463918611966</v>
      </c>
      <c r="J3601" t="n">
        <v>0.0047636708898317</v>
      </c>
      <c r="K3601" t="n">
        <v>0.742153277089622</v>
      </c>
      <c r="L3601" t="b">
        <v>0</v>
      </c>
      <c r="M3601" t="b">
        <v>0</v>
      </c>
      <c r="N3601" t="inlineStr">
        <is>
          <t>alt</t>
        </is>
      </c>
      <c r="O3601" t="n">
        <v>85</v>
      </c>
      <c r="P3601" t="n">
        <v>0.00865</v>
      </c>
      <c r="Q3601" t="n">
        <v>25</v>
      </c>
      <c r="R3601" t="n">
        <v>0.04022</v>
      </c>
      <c r="S3601">
        <f>IMAGE("https://mitra.stanford.edu/kundaje/oak/projects/neuro-variants/variant_position/credible/roussos_2024/variant_figures/roussos_2024.adolescence.Astrocyte/rs6937893_count_position.png",4,220,900)</f>
        <v/>
      </c>
      <c r="T3601">
        <f>IMAGE("https://mitra.stanford.edu/kundaje/oak/projects/neuro-variants/variant_position/credible/roussos_2024/variant_figures/roussos_2024.adolescence.Astrocyte/rs6937893_profile_position.png",4,220,900)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-0.0233198902</v>
      </c>
      <c r="G3602" t="n">
        <v>0.4949806165464173</v>
      </c>
      <c r="H3602" t="n">
        <v>0.0096174708191323</v>
      </c>
      <c r="I3602" t="n">
        <v>0.7810836186049999</v>
      </c>
      <c r="J3602" t="n">
        <v>0.0481047681215321</v>
      </c>
      <c r="K3602" t="n">
        <v>0.4539087579267059</v>
      </c>
      <c r="L3602" t="b">
        <v>0</v>
      </c>
      <c r="M3602" t="b">
        <v>0</v>
      </c>
      <c r="N3602" t="inlineStr">
        <is>
          <t>ref</t>
        </is>
      </c>
      <c r="O3602" t="n">
        <v>-95</v>
      </c>
      <c r="P3602" t="n">
        <v>0.003445</v>
      </c>
      <c r="Q3602" t="n">
        <v>-95</v>
      </c>
      <c r="R3602" t="n">
        <v>0.05682</v>
      </c>
      <c r="S3602">
        <f>IMAGE("https://mitra.stanford.edu/kundaje/oak/projects/neuro-variants/variant_position/credible/roussos_2024/variant_figures/roussos_2024.adolescence.Astrocyte/rs13218679_count_position.png",4,220,900)</f>
        <v/>
      </c>
      <c r="T3602">
        <f>IMAGE("https://mitra.stanford.edu/kundaje/oak/projects/neuro-variants/variant_position/credible/roussos_2024/variant_figures/roussos_2024.adolescence.Astrocyte/rs13218679_profile_position.png",4,220,900)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-0.1721146257999999</v>
      </c>
      <c r="G3603" t="n">
        <v>0.0376306933374264</v>
      </c>
      <c r="H3603" t="n">
        <v>0.0226811659750816</v>
      </c>
      <c r="I3603" t="n">
        <v>0.1099378544880603</v>
      </c>
      <c r="J3603" t="n">
        <v>0.0432832388808117</v>
      </c>
      <c r="K3603" t="n">
        <v>0.4619497575060877</v>
      </c>
      <c r="L3603" t="b">
        <v>0</v>
      </c>
      <c r="M3603" t="b">
        <v>0</v>
      </c>
      <c r="N3603" t="inlineStr">
        <is>
          <t>ref</t>
        </is>
      </c>
      <c r="O3603" t="n">
        <v>55</v>
      </c>
      <c r="P3603" t="n">
        <v>0.01996</v>
      </c>
      <c r="Q3603" t="n">
        <v>-85</v>
      </c>
      <c r="R3603" t="n">
        <v>0.2312</v>
      </c>
      <c r="S3603">
        <f>IMAGE("https://mitra.stanford.edu/kundaje/oak/projects/neuro-variants/variant_position/credible/roussos_2024/variant_figures/roussos_2024.adolescence.Astrocyte/rs2502388_count_position.png",4,220,900)</f>
        <v/>
      </c>
      <c r="T3603">
        <f>IMAGE("https://mitra.stanford.edu/kundaje/oak/projects/neuro-variants/variant_position/credible/roussos_2024/variant_figures/roussos_2024.adolescence.Astrocyte/rs2502388_profile_position.png",4,220,900)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0.0446533724</v>
      </c>
      <c r="G3604" t="n">
        <v>0.2678757811620806</v>
      </c>
      <c r="H3604" t="n">
        <v>0.0100067295497567</v>
      </c>
      <c r="I3604" t="n">
        <v>0.7475381735174488</v>
      </c>
      <c r="J3604" t="n">
        <v>0.0001772839213125</v>
      </c>
      <c r="K3604" t="n">
        <v>0.9645722787056574</v>
      </c>
      <c r="L3604" t="b">
        <v>0</v>
      </c>
      <c r="M3604" t="b">
        <v>0</v>
      </c>
      <c r="N3604" t="inlineStr">
        <is>
          <t>alt</t>
        </is>
      </c>
      <c r="O3604" t="n">
        <v>-100</v>
      </c>
      <c r="P3604" t="n">
        <v>0.005898</v>
      </c>
      <c r="Q3604" t="n">
        <v>-100</v>
      </c>
      <c r="R3604" t="n">
        <v>0.07294</v>
      </c>
      <c r="S3604">
        <f>IMAGE("https://mitra.stanford.edu/kundaje/oak/projects/neuro-variants/variant_position/credible/roussos_2024/variant_figures/roussos_2024.adolescence.Astrocyte/rs13195261_count_position.png",4,220,900)</f>
        <v/>
      </c>
      <c r="T3604">
        <f>IMAGE("https://mitra.stanford.edu/kundaje/oak/projects/neuro-variants/variant_position/credible/roussos_2024/variant_figures/roussos_2024.adolescence.Astrocyte/rs13195261_profile_position.png",4,220,900)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-0.0134516532599999</v>
      </c>
      <c r="G3605" t="n">
        <v>0.6679226806810893</v>
      </c>
      <c r="H3605" t="n">
        <v>0.0200583725789752</v>
      </c>
      <c r="I3605" t="n">
        <v>0.1343627352856067</v>
      </c>
      <c r="J3605" t="n">
        <v>0.0007061685903331</v>
      </c>
      <c r="K3605" t="n">
        <v>0.8997646944658239</v>
      </c>
      <c r="L3605" t="b">
        <v>0</v>
      </c>
      <c r="M3605" t="b">
        <v>0</v>
      </c>
      <c r="N3605" t="inlineStr">
        <is>
          <t>ref</t>
        </is>
      </c>
      <c r="O3605" t="n">
        <v>100</v>
      </c>
      <c r="P3605" t="n">
        <v>0.05377</v>
      </c>
      <c r="Q3605" t="n">
        <v>100</v>
      </c>
      <c r="R3605" t="n">
        <v>0.2769</v>
      </c>
      <c r="S3605">
        <f>IMAGE("https://mitra.stanford.edu/kundaje/oak/projects/neuro-variants/variant_position/credible/roussos_2024/variant_figures/roussos_2024.adolescence.Astrocyte/rs1321026_count_position.png",4,220,900)</f>
        <v/>
      </c>
      <c r="T3605">
        <f>IMAGE("https://mitra.stanford.edu/kundaje/oak/projects/neuro-variants/variant_position/credible/roussos_2024/variant_figures/roussos_2024.adolescence.Astrocyte/rs1321026_profile_position.png",4,220,900)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0.0134837219999999</v>
      </c>
      <c r="G3606" t="n">
        <v>0.4506187146980921</v>
      </c>
      <c r="H3606" t="n">
        <v>0.0199018968750948</v>
      </c>
      <c r="I3606" t="n">
        <v>0.1393614088236047</v>
      </c>
      <c r="J3606" t="n">
        <v>0.0063859300359017</v>
      </c>
      <c r="K3606" t="n">
        <v>0.7139032212148957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0.00538</v>
      </c>
      <c r="Q3606" t="n">
        <v>-30</v>
      </c>
      <c r="R3606" t="n">
        <v>0.0901</v>
      </c>
      <c r="S3606">
        <f>IMAGE("https://mitra.stanford.edu/kundaje/oak/projects/neuro-variants/variant_position/credible/roussos_2024/variant_figures/roussos_2024.adolescence.Astrocyte/rs902780_count_position.png",4,220,900)</f>
        <v/>
      </c>
      <c r="T3606">
        <f>IMAGE("https://mitra.stanford.edu/kundaje/oak/projects/neuro-variants/variant_position/credible/roussos_2024/variant_figures/roussos_2024.adolescence.Astrocyte/rs902780_profile_position.png",4,220,900)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0.02050815514</v>
      </c>
      <c r="G3607" t="n">
        <v>0.4187129184499264</v>
      </c>
      <c r="H3607" t="n">
        <v>0.0247792964979606</v>
      </c>
      <c r="I3607" t="n">
        <v>0.0652273682882146</v>
      </c>
      <c r="J3607" t="n">
        <v>0.9723444500489572</v>
      </c>
      <c r="K3607" t="n">
        <v>3.494996651178366e-05</v>
      </c>
      <c r="L3607" t="b">
        <v>0</v>
      </c>
      <c r="M3607" t="b">
        <v>0</v>
      </c>
      <c r="N3607" t="inlineStr">
        <is>
          <t>alt</t>
        </is>
      </c>
      <c r="O3607" t="n">
        <v>-60</v>
      </c>
      <c r="P3607" t="n">
        <v>0.01526</v>
      </c>
      <c r="Q3607" t="n">
        <v>-55</v>
      </c>
      <c r="R3607" t="n">
        <v>0.05957</v>
      </c>
      <c r="S3607">
        <f>IMAGE("https://mitra.stanford.edu/kundaje/oak/projects/neuro-variants/variant_position/credible/roussos_2024/variant_figures/roussos_2024.adolescence.Astrocyte/rs114000233_count_position.png",4,220,900)</f>
        <v/>
      </c>
      <c r="T3607">
        <f>IMAGE("https://mitra.stanford.edu/kundaje/oak/projects/neuro-variants/variant_position/credible/roussos_2024/variant_figures/roussos_2024.adolescence.Astrocyte/rs114000233_profile_position.png",4,220,900)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0.03332820004</v>
      </c>
      <c r="G3608" t="n">
        <v>0.2349009131620335</v>
      </c>
      <c r="H3608" t="n">
        <v>0.0297670322073671</v>
      </c>
      <c r="I3608" t="n">
        <v>0.0323901081457371</v>
      </c>
      <c r="J3608" t="n">
        <v>0.0411728926208348</v>
      </c>
      <c r="K3608" t="n">
        <v>0.4904765707209794</v>
      </c>
      <c r="L3608" t="b">
        <v>0</v>
      </c>
      <c r="M3608" t="b">
        <v>0</v>
      </c>
      <c r="N3608" t="inlineStr">
        <is>
          <t>alt</t>
        </is>
      </c>
      <c r="O3608" t="n">
        <v>-30</v>
      </c>
      <c r="P3608" t="n">
        <v>0.001282</v>
      </c>
      <c r="Q3608" t="n">
        <v>15</v>
      </c>
      <c r="R3608" t="n">
        <v>0.008545000000000001</v>
      </c>
      <c r="S3608">
        <f>IMAGE("https://mitra.stanford.edu/kundaje/oak/projects/neuro-variants/variant_position/credible/roussos_2024/variant_figures/roussos_2024.adolescence.Astrocyte/rs6901738_count_position.png",4,220,900)</f>
        <v/>
      </c>
      <c r="T3608">
        <f>IMAGE("https://mitra.stanford.edu/kundaje/oak/projects/neuro-variants/variant_position/credible/roussos_2024/variant_figures/roussos_2024.adolescence.Astrocyte/rs6901738_profile_position.png",4,220,900)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-0.0069002318399999</v>
      </c>
      <c r="G3609" t="n">
        <v>0.7643424098807433</v>
      </c>
      <c r="H3609" t="n">
        <v>0.035364593784912</v>
      </c>
      <c r="I3609" t="n">
        <v>0.0159298358219239</v>
      </c>
      <c r="J3609" t="n">
        <v>0.0251275850814467</v>
      </c>
      <c r="K3609" t="n">
        <v>0.5494563552457113</v>
      </c>
      <c r="L3609" t="b">
        <v>1</v>
      </c>
      <c r="M3609" t="b">
        <v>0</v>
      </c>
      <c r="N3609" t="inlineStr">
        <is>
          <t>ref</t>
        </is>
      </c>
      <c r="O3609" t="n">
        <v>-95</v>
      </c>
      <c r="P3609" t="n">
        <v>0.007324</v>
      </c>
      <c r="Q3609" t="n">
        <v>85</v>
      </c>
      <c r="R3609" t="n">
        <v>0.0779</v>
      </c>
      <c r="S3609">
        <f>IMAGE("https://mitra.stanford.edu/kundaje/oak/projects/neuro-variants/variant_position/credible/roussos_2024/variant_figures/roussos_2024.adolescence.Astrocyte/rs4946382_count_position.png",4,220,900)</f>
        <v/>
      </c>
      <c r="T3609">
        <f>IMAGE("https://mitra.stanford.edu/kundaje/oak/projects/neuro-variants/variant_position/credible/roussos_2024/variant_figures/roussos_2024.adolescence.Astrocyte/rs4946382_profile_position.png",4,220,900)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-0.046442417386</v>
      </c>
      <c r="G3610" t="n">
        <v>0.2764429027251938</v>
      </c>
      <c r="H3610" t="n">
        <v>0.0206136102665678</v>
      </c>
      <c r="I3610" t="n">
        <v>0.1228502557561441</v>
      </c>
      <c r="J3610" t="n">
        <v>0.008568970121354101</v>
      </c>
      <c r="K3610" t="n">
        <v>0.6973532392705404</v>
      </c>
      <c r="L3610" t="b">
        <v>0</v>
      </c>
      <c r="M3610" t="b">
        <v>0</v>
      </c>
      <c r="N3610" t="inlineStr">
        <is>
          <t>ref</t>
        </is>
      </c>
      <c r="O3610" t="n">
        <v>90</v>
      </c>
      <c r="P3610" t="n">
        <v>0.00763</v>
      </c>
      <c r="Q3610" t="n">
        <v>-90</v>
      </c>
      <c r="R3610" t="n">
        <v>0.1046</v>
      </c>
      <c r="S3610">
        <f>IMAGE("https://mitra.stanford.edu/kundaje/oak/projects/neuro-variants/variant_position/credible/roussos_2024/variant_figures/roussos_2024.adolescence.Astrocyte/rs1775620_count_position.png",4,220,900)</f>
        <v/>
      </c>
      <c r="T3610">
        <f>IMAGE("https://mitra.stanford.edu/kundaje/oak/projects/neuro-variants/variant_position/credible/roussos_2024/variant_figures/roussos_2024.adolescence.Astrocyte/rs1775620_profile_position.png",4,220,900)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0.008556302220000001</v>
      </c>
      <c r="G3611" t="n">
        <v>0.7567716504677694</v>
      </c>
      <c r="H3611" t="n">
        <v>0.0111979542897329</v>
      </c>
      <c r="I3611" t="n">
        <v>0.6368104150788909</v>
      </c>
      <c r="J3611" t="n">
        <v>0.0104241462184374</v>
      </c>
      <c r="K3611" t="n">
        <v>0.6831344868924092</v>
      </c>
      <c r="L3611" t="b">
        <v>0</v>
      </c>
      <c r="M3611" t="b">
        <v>0</v>
      </c>
      <c r="N3611" t="inlineStr">
        <is>
          <t>alt</t>
        </is>
      </c>
      <c r="O3611" t="n">
        <v>-50</v>
      </c>
      <c r="P3611" t="n">
        <v>0.006058</v>
      </c>
      <c r="Q3611" t="n">
        <v>-95</v>
      </c>
      <c r="R3611" t="n">
        <v>0.09080000000000001</v>
      </c>
      <c r="S3611">
        <f>IMAGE("https://mitra.stanford.edu/kundaje/oak/projects/neuro-variants/variant_position/credible/roussos_2024/variant_figures/roussos_2024.adolescence.Astrocyte/rs6931074_count_position.png",4,220,900)</f>
        <v/>
      </c>
      <c r="T3611">
        <f>IMAGE("https://mitra.stanford.edu/kundaje/oak/projects/neuro-variants/variant_position/credible/roussos_2024/variant_figures/roussos_2024.adolescence.Astrocyte/rs6931074_profile_position.png",4,220,900)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-0.027406251</v>
      </c>
      <c r="G3612" t="n">
        <v>0.3434748664594497</v>
      </c>
      <c r="H3612" t="n">
        <v>0.0190935035955097</v>
      </c>
      <c r="I3612" t="n">
        <v>0.1624366517234214</v>
      </c>
      <c r="J3612" t="n">
        <v>0.2686526421980238</v>
      </c>
      <c r="K3612" t="n">
        <v>0.1529822520608499</v>
      </c>
      <c r="L3612" t="b">
        <v>0</v>
      </c>
      <c r="M3612" t="b">
        <v>0</v>
      </c>
      <c r="N3612" t="inlineStr">
        <is>
          <t>ref</t>
        </is>
      </c>
      <c r="O3612" t="n">
        <v>-100</v>
      </c>
      <c r="P3612" t="n">
        <v>0.006676</v>
      </c>
      <c r="Q3612" t="n">
        <v>100</v>
      </c>
      <c r="R3612" t="n">
        <v>0.2725</v>
      </c>
      <c r="S3612">
        <f>IMAGE("https://mitra.stanford.edu/kundaje/oak/projects/neuro-variants/variant_position/credible/roussos_2024/variant_figures/roussos_2024.adolescence.Astrocyte/rs2357023_count_position.png",4,220,900)</f>
        <v/>
      </c>
      <c r="T3612">
        <f>IMAGE("https://mitra.stanford.edu/kundaje/oak/projects/neuro-variants/variant_position/credible/roussos_2024/variant_figures/roussos_2024.adolescence.Astrocyte/rs2357023_profile_position.png",4,220,900)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-0.0761248336</v>
      </c>
      <c r="G3613" t="n">
        <v>0.1308261254484794</v>
      </c>
      <c r="H3613" t="n">
        <v>0.0143576254163966</v>
      </c>
      <c r="I3613" t="n">
        <v>0.3645532517592472</v>
      </c>
      <c r="J3613" t="n">
        <v>0.1426594071744354</v>
      </c>
      <c r="K3613" t="n">
        <v>0.2682100412998213</v>
      </c>
      <c r="L3613" t="b">
        <v>0</v>
      </c>
      <c r="M3613" t="b">
        <v>0</v>
      </c>
      <c r="N3613" t="inlineStr">
        <is>
          <t>ref</t>
        </is>
      </c>
      <c r="O3613" t="n">
        <v>-100</v>
      </c>
      <c r="P3613" t="n">
        <v>0.01071</v>
      </c>
      <c r="Q3613" t="n">
        <v>95</v>
      </c>
      <c r="R3613" t="n">
        <v>0.064</v>
      </c>
      <c r="S3613">
        <f>IMAGE("https://mitra.stanford.edu/kundaje/oak/projects/neuro-variants/variant_position/credible/roussos_2024/variant_figures/roussos_2024.adolescence.Astrocyte/rs6929403_count_position.png",4,220,900)</f>
        <v/>
      </c>
      <c r="T3613">
        <f>IMAGE("https://mitra.stanford.edu/kundaje/oak/projects/neuro-variants/variant_position/credible/roussos_2024/variant_figures/roussos_2024.adolescence.Astrocyte/rs6929403_profile_position.png",4,220,900)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0.02817658664</v>
      </c>
      <c r="G3614" t="n">
        <v>0.421780348477382</v>
      </c>
      <c r="H3614" t="n">
        <v>0.0159823411217448</v>
      </c>
      <c r="I3614" t="n">
        <v>0.2741781558242137</v>
      </c>
      <c r="J3614" t="n">
        <v>0.00317701688277</v>
      </c>
      <c r="K3614" t="n">
        <v>0.7845234965187303</v>
      </c>
      <c r="L3614" t="b">
        <v>0</v>
      </c>
      <c r="M3614" t="b">
        <v>0</v>
      </c>
      <c r="N3614" t="inlineStr">
        <is>
          <t>alt</t>
        </is>
      </c>
      <c r="O3614" t="n">
        <v>95</v>
      </c>
      <c r="P3614" t="n">
        <v>0.00739</v>
      </c>
      <c r="Q3614" t="n">
        <v>-100</v>
      </c>
      <c r="R3614" t="n">
        <v>0.1116</v>
      </c>
      <c r="S3614">
        <f>IMAGE("https://mitra.stanford.edu/kundaje/oak/projects/neuro-variants/variant_position/credible/roussos_2024/variant_figures/roussos_2024.adolescence.Astrocyte/rs794249_count_position.png",4,220,900)</f>
        <v/>
      </c>
      <c r="T3614">
        <f>IMAGE("https://mitra.stanford.edu/kundaje/oak/projects/neuro-variants/variant_position/credible/roussos_2024/variant_figures/roussos_2024.adolescence.Astrocyte/rs794249_profile_position.png",4,220,900)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0.0197351866</v>
      </c>
      <c r="G3615" t="n">
        <v>0.5318818158443734</v>
      </c>
      <c r="H3615" t="n">
        <v>0.0180244037426576</v>
      </c>
      <c r="I3615" t="n">
        <v>0.1906284124317074</v>
      </c>
      <c r="J3615" t="n">
        <v>0.0003152538349701</v>
      </c>
      <c r="K3615" t="n">
        <v>0.9498894780182824</v>
      </c>
      <c r="L3615" t="b">
        <v>0</v>
      </c>
      <c r="M3615" t="b">
        <v>0</v>
      </c>
      <c r="N3615" t="inlineStr">
        <is>
          <t>alt</t>
        </is>
      </c>
      <c r="O3615" t="n">
        <v>85</v>
      </c>
      <c r="P3615" t="n">
        <v>0.011925</v>
      </c>
      <c r="Q3615" t="n">
        <v>100</v>
      </c>
      <c r="R3615" t="n">
        <v>0.2876</v>
      </c>
      <c r="S3615">
        <f>IMAGE("https://mitra.stanford.edu/kundaje/oak/projects/neuro-variants/variant_position/credible/roussos_2024/variant_figures/roussos_2024.adolescence.Astrocyte/rs7451540_count_position.png",4,220,900)</f>
        <v/>
      </c>
      <c r="T3615">
        <f>IMAGE("https://mitra.stanford.edu/kundaje/oak/projects/neuro-variants/variant_position/credible/roussos_2024/variant_figures/roussos_2024.adolescence.Astrocyte/rs7451540_profile_position.png",4,220,900)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-0.24594599</v>
      </c>
      <c r="G3616" t="n">
        <v>0.0114672771178372</v>
      </c>
      <c r="H3616" t="n">
        <v>0.0398357399844764</v>
      </c>
      <c r="I3616" t="n">
        <v>0.0101298158474587</v>
      </c>
      <c r="J3616" t="n">
        <v>0.0259739489066254</v>
      </c>
      <c r="K3616" t="n">
        <v>0.5435780909007791</v>
      </c>
      <c r="L3616" t="b">
        <v>1</v>
      </c>
      <c r="M3616" t="b">
        <v>0</v>
      </c>
      <c r="N3616" t="inlineStr">
        <is>
          <t>ref</t>
        </is>
      </c>
      <c r="O3616" t="n">
        <v>20</v>
      </c>
      <c r="P3616" t="n">
        <v>0.002274</v>
      </c>
      <c r="Q3616" t="n">
        <v>-70</v>
      </c>
      <c r="R3616" t="n">
        <v>0.1469</v>
      </c>
      <c r="S3616">
        <f>IMAGE("https://mitra.stanford.edu/kundaje/oak/projects/neuro-variants/variant_position/credible/roussos_2024/variant_figures/roussos_2024.adolescence.Astrocyte/rs9376742_count_position.png",4,220,900)</f>
        <v/>
      </c>
      <c r="T3616">
        <f>IMAGE("https://mitra.stanford.edu/kundaje/oak/projects/neuro-variants/variant_position/credible/roussos_2024/variant_figures/roussos_2024.adolescence.Astrocyte/rs9376742_profile_position.png",4,220,900)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0.1028404291999999</v>
      </c>
      <c r="G3617" t="n">
        <v>0.0867955777809975</v>
      </c>
      <c r="H3617" t="n">
        <v>0.026518387922035</v>
      </c>
      <c r="I3617" t="n">
        <v>0.0513229711484318</v>
      </c>
      <c r="J3617" t="n">
        <v>0.0203105064831023</v>
      </c>
      <c r="K3617" t="n">
        <v>0.5728954272031554</v>
      </c>
      <c r="L3617" t="b">
        <v>0</v>
      </c>
      <c r="M3617" t="b">
        <v>0</v>
      </c>
      <c r="N3617" t="inlineStr">
        <is>
          <t>alt</t>
        </is>
      </c>
      <c r="O3617" t="n">
        <v>100</v>
      </c>
      <c r="P3617" t="n">
        <v>0.01184</v>
      </c>
      <c r="Q3617" t="n">
        <v>90</v>
      </c>
      <c r="R3617" t="n">
        <v>0.11945</v>
      </c>
      <c r="S3617">
        <f>IMAGE("https://mitra.stanford.edu/kundaje/oak/projects/neuro-variants/variant_position/credible/roussos_2024/variant_figures/roussos_2024.adolescence.Astrocyte/rs2303386_count_position.png",4,220,900)</f>
        <v/>
      </c>
      <c r="T3617">
        <f>IMAGE("https://mitra.stanford.edu/kundaje/oak/projects/neuro-variants/variant_position/credible/roussos_2024/variant_figures/roussos_2024.adolescence.Astrocyte/rs2303386_profile_position.png",4,220,900)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0.0086080656999999</v>
      </c>
      <c r="G3618" t="n">
        <v>0.7699837511941674</v>
      </c>
      <c r="H3618" t="n">
        <v>0.0083277694797117</v>
      </c>
      <c r="I3618" t="n">
        <v>0.9064471229731388</v>
      </c>
      <c r="J3618" t="n">
        <v>0.0001528053882443</v>
      </c>
      <c r="K3618" t="n">
        <v>0.9660974200887908</v>
      </c>
      <c r="L3618" t="b">
        <v>0</v>
      </c>
      <c r="M3618" t="b">
        <v>0</v>
      </c>
      <c r="N3618" t="inlineStr">
        <is>
          <t>alt</t>
        </is>
      </c>
      <c r="O3618" t="n">
        <v>55</v>
      </c>
      <c r="P3618" t="n">
        <v>0.00745</v>
      </c>
      <c r="Q3618" t="n">
        <v>55</v>
      </c>
      <c r="R3618" t="n">
        <v>0.05316</v>
      </c>
      <c r="S3618">
        <f>IMAGE("https://mitra.stanford.edu/kundaje/oak/projects/neuro-variants/variant_position/credible/roussos_2024/variant_figures/roussos_2024.adolescence.Astrocyte/rs9376824_count_position.png",4,220,900)</f>
        <v/>
      </c>
      <c r="T3618">
        <f>IMAGE("https://mitra.stanford.edu/kundaje/oak/projects/neuro-variants/variant_position/credible/roussos_2024/variant_figures/roussos_2024.adolescence.Astrocyte/rs9376824_profile_position.png",4,220,900)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-0.0324650822</v>
      </c>
      <c r="G3619" t="n">
        <v>0.3843282095956398</v>
      </c>
      <c r="H3619" t="n">
        <v>0.0194919709654088</v>
      </c>
      <c r="I3619" t="n">
        <v>0.14836299438612</v>
      </c>
      <c r="J3619" t="n">
        <v>0.0237894252737144</v>
      </c>
      <c r="K3619" t="n">
        <v>0.5576368366707182</v>
      </c>
      <c r="L3619" t="b">
        <v>0</v>
      </c>
      <c r="M3619" t="b">
        <v>0</v>
      </c>
      <c r="N3619" t="inlineStr">
        <is>
          <t>ref</t>
        </is>
      </c>
      <c r="O3619" t="n">
        <v>90</v>
      </c>
      <c r="P3619" t="n">
        <v>0.00945</v>
      </c>
      <c r="Q3619" t="n">
        <v>90</v>
      </c>
      <c r="R3619" t="n">
        <v>0.1328</v>
      </c>
      <c r="S3619">
        <f>IMAGE("https://mitra.stanford.edu/kundaje/oak/projects/neuro-variants/variant_position/credible/roussos_2024/variant_figures/roussos_2024.adolescence.Astrocyte/rs4896728_count_position.png",4,220,900)</f>
        <v/>
      </c>
      <c r="T3619">
        <f>IMAGE("https://mitra.stanford.edu/kundaje/oak/projects/neuro-variants/variant_position/credible/roussos_2024/variant_figures/roussos_2024.adolescence.Astrocyte/rs4896728_profile_position.png",4,220,900)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0.0577208996</v>
      </c>
      <c r="G3620" t="n">
        <v>0.1301007035153722</v>
      </c>
      <c r="H3620" t="n">
        <v>0.0210366261060156</v>
      </c>
      <c r="I3620" t="n">
        <v>0.1154671026430476</v>
      </c>
      <c r="J3620" t="n">
        <v>0.3200301160134112</v>
      </c>
      <c r="K3620" t="n">
        <v>0.1242482804481107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0.04962</v>
      </c>
      <c r="Q3620" t="n">
        <v>30</v>
      </c>
      <c r="R3620" t="n">
        <v>0.1279</v>
      </c>
      <c r="S3620">
        <f>IMAGE("https://mitra.stanford.edu/kundaje/oak/projects/neuro-variants/variant_position/credible/roussos_2024/variant_figures/roussos_2024.adolescence.Astrocyte/rs9376826_count_position.png",4,220,900)</f>
        <v/>
      </c>
      <c r="T3620">
        <f>IMAGE("https://mitra.stanford.edu/kundaje/oak/projects/neuro-variants/variant_position/credible/roussos_2024/variant_figures/roussos_2024.adolescence.Astrocyte/rs9376826_profile_position.png",4,220,900)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-0.00308273524</v>
      </c>
      <c r="G3621" t="n">
        <v>0.7418527927534012</v>
      </c>
      <c r="H3621" t="n">
        <v>0.0348255981007944</v>
      </c>
      <c r="I3621" t="n">
        <v>0.0171436794856873</v>
      </c>
      <c r="J3621" t="n">
        <v>0.0111926238020353</v>
      </c>
      <c r="K3621" t="n">
        <v>0.680922716598982</v>
      </c>
      <c r="L3621" t="b">
        <v>1</v>
      </c>
      <c r="M3621" t="b">
        <v>0</v>
      </c>
      <c r="N3621" t="inlineStr">
        <is>
          <t>ref</t>
        </is>
      </c>
      <c r="O3621" t="n">
        <v>-20</v>
      </c>
      <c r="P3621" t="n">
        <v>0.001221</v>
      </c>
      <c r="Q3621" t="n">
        <v>15</v>
      </c>
      <c r="R3621" t="n">
        <v>0.04077</v>
      </c>
      <c r="S3621">
        <f>IMAGE("https://mitra.stanford.edu/kundaje/oak/projects/neuro-variants/variant_position/credible/roussos_2024/variant_figures/roussos_2024.adolescence.Astrocyte/rs9399485_count_position.png",4,220,900)</f>
        <v/>
      </c>
      <c r="T3621">
        <f>IMAGE("https://mitra.stanford.edu/kundaje/oak/projects/neuro-variants/variant_position/credible/roussos_2024/variant_figures/roussos_2024.adolescence.Astrocyte/rs9399485_profile_position.png",4,220,900)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0.01395575712</v>
      </c>
      <c r="G3622" t="n">
        <v>0.6442309484792993</v>
      </c>
      <c r="H3622" t="n">
        <v>0.0423728336645954</v>
      </c>
      <c r="I3622" t="n">
        <v>0.0077429461633881</v>
      </c>
      <c r="J3622" t="n">
        <v>0.0031725662403939</v>
      </c>
      <c r="K3622" t="n">
        <v>0.792319791845017</v>
      </c>
      <c r="L3622" t="b">
        <v>0</v>
      </c>
      <c r="M3622" t="b">
        <v>0</v>
      </c>
      <c r="N3622" t="inlineStr">
        <is>
          <t>alt</t>
        </is>
      </c>
      <c r="O3622" t="n">
        <v>-10</v>
      </c>
      <c r="P3622" t="n">
        <v>0.000778</v>
      </c>
      <c r="Q3622" t="n">
        <v>-10</v>
      </c>
      <c r="R3622" t="n">
        <v>0.01276</v>
      </c>
      <c r="S3622">
        <f>IMAGE("https://mitra.stanford.edu/kundaje/oak/projects/neuro-variants/variant_position/credible/roussos_2024/variant_figures/roussos_2024.adolescence.Astrocyte/rs9403593_count_position.png",4,220,900)</f>
        <v/>
      </c>
      <c r="T3622">
        <f>IMAGE("https://mitra.stanford.edu/kundaje/oak/projects/neuro-variants/variant_position/credible/roussos_2024/variant_figures/roussos_2024.adolescence.Astrocyte/rs9403593_profile_position.png",4,220,900)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0.0062388111</v>
      </c>
      <c r="G3623" t="n">
        <v>0.8250821050805291</v>
      </c>
      <c r="H3623" t="n">
        <v>0.0122072004019771</v>
      </c>
      <c r="I3623" t="n">
        <v>0.5323370307059444</v>
      </c>
      <c r="J3623" t="n">
        <v>0.0158146159095628</v>
      </c>
      <c r="K3623" t="n">
        <v>0.612698651303339</v>
      </c>
      <c r="L3623" t="b">
        <v>0</v>
      </c>
      <c r="M3623" t="b">
        <v>0</v>
      </c>
      <c r="N3623" t="inlineStr">
        <is>
          <t>alt</t>
        </is>
      </c>
      <c r="O3623" t="n">
        <v>-85</v>
      </c>
      <c r="P3623" t="n">
        <v>0.002975</v>
      </c>
      <c r="Q3623" t="n">
        <v>-80</v>
      </c>
      <c r="R3623" t="n">
        <v>0.089</v>
      </c>
      <c r="S3623">
        <f>IMAGE("https://mitra.stanford.edu/kundaje/oak/projects/neuro-variants/variant_position/credible/roussos_2024/variant_figures/roussos_2024.adolescence.Astrocyte/rs4131500_count_position.png",4,220,900)</f>
        <v/>
      </c>
      <c r="T3623">
        <f>IMAGE("https://mitra.stanford.edu/kundaje/oak/projects/neuro-variants/variant_position/credible/roussos_2024/variant_figures/roussos_2024.adolescence.Astrocyte/rs4131500_profile_position.png",4,220,900)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0.0481044179999999</v>
      </c>
      <c r="G3624" t="n">
        <v>0.2560261397181461</v>
      </c>
      <c r="H3624" t="n">
        <v>0.0165159999561771</v>
      </c>
      <c r="I3624" t="n">
        <v>0.2454172771204144</v>
      </c>
      <c r="J3624" t="n">
        <v>0.1428366910957481</v>
      </c>
      <c r="K3624" t="n">
        <v>0.2606267135145243</v>
      </c>
      <c r="L3624" t="b">
        <v>0</v>
      </c>
      <c r="M3624" t="b">
        <v>0</v>
      </c>
      <c r="N3624" t="inlineStr">
        <is>
          <t>alt</t>
        </is>
      </c>
      <c r="O3624" t="n">
        <v>95</v>
      </c>
      <c r="P3624" t="n">
        <v>0.001236</v>
      </c>
      <c r="Q3624" t="n">
        <v>-100</v>
      </c>
      <c r="R3624" t="n">
        <v>0.0847</v>
      </c>
      <c r="S3624">
        <f>IMAGE("https://mitra.stanford.edu/kundaje/oak/projects/neuro-variants/variant_position/credible/roussos_2024/variant_figures/roussos_2024.adolescence.Astrocyte/rs6927442_count_position.png",4,220,900)</f>
        <v/>
      </c>
      <c r="T3624">
        <f>IMAGE("https://mitra.stanford.edu/kundaje/oak/projects/neuro-variants/variant_position/credible/roussos_2024/variant_figures/roussos_2024.adolescence.Astrocyte/rs6927442_profile_position.png",4,220,900)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0.0260785217999999</v>
      </c>
      <c r="G3625" t="n">
        <v>0.4443298794952293</v>
      </c>
      <c r="H3625" t="n">
        <v>0.0118559526074885</v>
      </c>
      <c r="I3625" t="n">
        <v>0.5660596991632145</v>
      </c>
      <c r="J3625" t="n">
        <v>0.0035486455211701</v>
      </c>
      <c r="K3625" t="n">
        <v>0.772118286675116</v>
      </c>
      <c r="L3625" t="b">
        <v>0</v>
      </c>
      <c r="M3625" t="b">
        <v>0</v>
      </c>
      <c r="N3625" t="inlineStr">
        <is>
          <t>alt</t>
        </is>
      </c>
      <c r="O3625" t="n">
        <v>-90</v>
      </c>
      <c r="P3625" t="n">
        <v>0.008630000000000001</v>
      </c>
      <c r="Q3625" t="n">
        <v>-100</v>
      </c>
      <c r="R3625" t="n">
        <v>0.05823</v>
      </c>
      <c r="S3625">
        <f>IMAGE("https://mitra.stanford.edu/kundaje/oak/projects/neuro-variants/variant_position/credible/roussos_2024/variant_figures/roussos_2024.adolescence.Astrocyte/rs9376859_count_position.png",4,220,900)</f>
        <v/>
      </c>
      <c r="T3625">
        <f>IMAGE("https://mitra.stanford.edu/kundaje/oak/projects/neuro-variants/variant_position/credible/roussos_2024/variant_figures/roussos_2024.adolescence.Astrocyte/rs9376859_profile_position.png",4,220,900)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0.0326656128</v>
      </c>
      <c r="G3626" t="n">
        <v>0.1086992871390633</v>
      </c>
      <c r="H3626" t="n">
        <v>0.0177899127843151</v>
      </c>
      <c r="I3626" t="n">
        <v>0.2021847167874457</v>
      </c>
      <c r="J3626" t="n">
        <v>0.4027282437765184</v>
      </c>
      <c r="K3626" t="n">
        <v>0.08743224674800849</v>
      </c>
      <c r="L3626" t="b">
        <v>0</v>
      </c>
      <c r="M3626" t="b">
        <v>0</v>
      </c>
      <c r="N3626" t="inlineStr">
        <is>
          <t>alt</t>
        </is>
      </c>
      <c r="O3626" t="n">
        <v>-45</v>
      </c>
      <c r="P3626" t="n">
        <v>0.006348</v>
      </c>
      <c r="Q3626" t="n">
        <v>-45</v>
      </c>
      <c r="R3626" t="n">
        <v>0.05273</v>
      </c>
      <c r="S3626">
        <f>IMAGE("https://mitra.stanford.edu/kundaje/oak/projects/neuro-variants/variant_position/credible/roussos_2024/variant_figures/roussos_2024.adolescence.Astrocyte/rs2268665_count_position.png",4,220,900)</f>
        <v/>
      </c>
      <c r="T3626">
        <f>IMAGE("https://mitra.stanford.edu/kundaje/oak/projects/neuro-variants/variant_position/credible/roussos_2024/variant_figures/roussos_2024.adolescence.Astrocyte/rs2268665_profile_position.png",4,220,900)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0.00362597432</v>
      </c>
      <c r="G3627" t="n">
        <v>0.8202823543731815</v>
      </c>
      <c r="H3627" t="n">
        <v>0.0123492645033676</v>
      </c>
      <c r="I3627" t="n">
        <v>0.5237408859007235</v>
      </c>
      <c r="J3627" t="n">
        <v>0.0277668160104441</v>
      </c>
      <c r="K3627" t="n">
        <v>0.5271918769164229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0.01816</v>
      </c>
      <c r="Q3627" t="n">
        <v>90</v>
      </c>
      <c r="R3627" t="n">
        <v>0.2413</v>
      </c>
      <c r="S3627">
        <f>IMAGE("https://mitra.stanford.edu/kundaje/oak/projects/neuro-variants/variant_position/credible/roussos_2024/variant_figures/roussos_2024.adolescence.Astrocyte/rs4896868_count_position.png",4,220,900)</f>
        <v/>
      </c>
      <c r="T3627">
        <f>IMAGE("https://mitra.stanford.edu/kundaje/oak/projects/neuro-variants/variant_position/credible/roussos_2024/variant_figures/roussos_2024.adolescence.Astrocyte/rs4896868_profile_position.png",4,220,900)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-0.01049935823</v>
      </c>
      <c r="G3628" t="n">
        <v>0.7256735188619688</v>
      </c>
      <c r="H3628" t="n">
        <v>0.0054483755256189</v>
      </c>
      <c r="I3628" t="n">
        <v>0.9981063506149088</v>
      </c>
      <c r="J3628" t="n">
        <v>0.0026696436519003</v>
      </c>
      <c r="K3628" t="n">
        <v>0.8132479344320508</v>
      </c>
      <c r="L3628" t="b">
        <v>0</v>
      </c>
      <c r="M3628" t="b">
        <v>0</v>
      </c>
      <c r="N3628" t="inlineStr">
        <is>
          <t>ref</t>
        </is>
      </c>
      <c r="O3628" t="n">
        <v>100</v>
      </c>
      <c r="P3628" t="n">
        <v>0.010506</v>
      </c>
      <c r="Q3628" t="n">
        <v>-45</v>
      </c>
      <c r="R3628" t="n">
        <v>0.0764</v>
      </c>
      <c r="S3628">
        <f>IMAGE("https://mitra.stanford.edu/kundaje/oak/projects/neuro-variants/variant_position/credible/roussos_2024/variant_figures/roussos_2024.adolescence.Astrocyte/rs2206959_count_position.png",4,220,900)</f>
        <v/>
      </c>
      <c r="T3628">
        <f>IMAGE("https://mitra.stanford.edu/kundaje/oak/projects/neuro-variants/variant_position/credible/roussos_2024/variant_figures/roussos_2024.adolescence.Astrocyte/rs2206959_profile_position.png",4,220,900)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-0.000246261412</v>
      </c>
      <c r="G3629" t="n">
        <v>0.7830933874010042</v>
      </c>
      <c r="H3629" t="n">
        <v>0.0253572078239188</v>
      </c>
      <c r="I3629" t="n">
        <v>0.0598298264625101</v>
      </c>
      <c r="J3629" t="n">
        <v>0.0104597513574458</v>
      </c>
      <c r="K3629" t="n">
        <v>0.6514891914558238</v>
      </c>
      <c r="L3629" t="b">
        <v>0</v>
      </c>
      <c r="M3629" t="b">
        <v>0</v>
      </c>
      <c r="N3629" t="inlineStr">
        <is>
          <t>ref</t>
        </is>
      </c>
      <c r="O3629" t="n">
        <v>-100</v>
      </c>
      <c r="P3629" t="n">
        <v>0.1451</v>
      </c>
      <c r="Q3629" t="n">
        <v>-100</v>
      </c>
      <c r="R3629" t="n">
        <v>0.1103</v>
      </c>
      <c r="S3629">
        <f>IMAGE("https://mitra.stanford.edu/kundaje/oak/projects/neuro-variants/variant_position/credible/roussos_2024/variant_figures/roussos_2024.adolescence.Astrocyte/rs9372017_count_position.png",4,220,900)</f>
        <v/>
      </c>
      <c r="T3629">
        <f>IMAGE("https://mitra.stanford.edu/kundaje/oak/projects/neuro-variants/variant_position/credible/roussos_2024/variant_figures/roussos_2024.adolescence.Astrocyte/rs9372017_profile_position.png",4,220,900)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0.0193485098</v>
      </c>
      <c r="G3630" t="n">
        <v>0.4920146922871749</v>
      </c>
      <c r="H3630" t="n">
        <v>0.0131687211602898</v>
      </c>
      <c r="I3630" t="n">
        <v>0.455470428981272</v>
      </c>
      <c r="J3630" t="n">
        <v>0.0050321929798534</v>
      </c>
      <c r="K3630" t="n">
        <v>0.7378493608446589</v>
      </c>
      <c r="L3630" t="b">
        <v>0</v>
      </c>
      <c r="M3630" t="b">
        <v>0</v>
      </c>
      <c r="N3630" t="inlineStr">
        <is>
          <t>alt</t>
        </is>
      </c>
      <c r="O3630" t="n">
        <v>85</v>
      </c>
      <c r="P3630" t="n">
        <v>0.00383</v>
      </c>
      <c r="Q3630" t="n">
        <v>-75</v>
      </c>
      <c r="R3630" t="n">
        <v>0.05594</v>
      </c>
      <c r="S3630">
        <f>IMAGE("https://mitra.stanford.edu/kundaje/oak/projects/neuro-variants/variant_position/credible/roussos_2024/variant_figures/roussos_2024.adolescence.Astrocyte/rs287943_count_position.png",4,220,900)</f>
        <v/>
      </c>
      <c r="T3630">
        <f>IMAGE("https://mitra.stanford.edu/kundaje/oak/projects/neuro-variants/variant_position/credible/roussos_2024/variant_figures/roussos_2024.adolescence.Astrocyte/rs287943_profile_position.png",4,220,900)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-0.0509866581999999</v>
      </c>
      <c r="G3631" t="n">
        <v>0.2338040918262332</v>
      </c>
      <c r="H3631" t="n">
        <v>0.0141870084998874</v>
      </c>
      <c r="I3631" t="n">
        <v>0.3780424991706448</v>
      </c>
      <c r="J3631" t="n">
        <v>0.003394356585467</v>
      </c>
      <c r="K3631" t="n">
        <v>0.7750439745335828</v>
      </c>
      <c r="L3631" t="b">
        <v>0</v>
      </c>
      <c r="M3631" t="b">
        <v>0</v>
      </c>
      <c r="N3631" t="inlineStr">
        <is>
          <t>ref</t>
        </is>
      </c>
      <c r="O3631" t="n">
        <v>-90</v>
      </c>
      <c r="P3631" t="n">
        <v>0.02667</v>
      </c>
      <c r="Q3631" t="n">
        <v>-90</v>
      </c>
      <c r="R3631" t="n">
        <v>0.1737</v>
      </c>
      <c r="S3631">
        <f>IMAGE("https://mitra.stanford.edu/kundaje/oak/projects/neuro-variants/variant_position/credible/roussos_2024/variant_figures/roussos_2024.adolescence.Astrocyte/rs6928411_count_position.png",4,220,900)</f>
        <v/>
      </c>
      <c r="T3631">
        <f>IMAGE("https://mitra.stanford.edu/kundaje/oak/projects/neuro-variants/variant_position/credible/roussos_2024/variant_figures/roussos_2024.adolescence.Astrocyte/rs6928411_profile_position.png",4,220,900)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-0.119770083</v>
      </c>
      <c r="G3632" t="n">
        <v>0.0599199898032453</v>
      </c>
      <c r="H3632" t="n">
        <v>0.0193509808936163</v>
      </c>
      <c r="I3632" t="n">
        <v>0.1602847526832204</v>
      </c>
      <c r="J3632" t="n">
        <v>0.009344123668516099</v>
      </c>
      <c r="K3632" t="n">
        <v>0.665895985868854</v>
      </c>
      <c r="L3632" t="b">
        <v>0</v>
      </c>
      <c r="M3632" t="b">
        <v>0</v>
      </c>
      <c r="N3632" t="inlineStr">
        <is>
          <t>ref</t>
        </is>
      </c>
      <c r="O3632" t="n">
        <v>-55</v>
      </c>
      <c r="P3632" t="n">
        <v>0.004322</v>
      </c>
      <c r="Q3632" t="n">
        <v>5</v>
      </c>
      <c r="R3632" t="n">
        <v>0.00906</v>
      </c>
      <c r="S3632">
        <f>IMAGE("https://mitra.stanford.edu/kundaje/oak/projects/neuro-variants/variant_position/credible/roussos_2024/variant_figures/roussos_2024.adolescence.Astrocyte/rs1407509_count_position.png",4,220,900)</f>
        <v/>
      </c>
      <c r="T3632">
        <f>IMAGE("https://mitra.stanford.edu/kundaje/oak/projects/neuro-variants/variant_position/credible/roussos_2024/variant_figures/roussos_2024.adolescence.Astrocyte/rs1407509_profile_position.png",4,220,900)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-0.0776534889999999</v>
      </c>
      <c r="G3633" t="n">
        <v>0.1309275612919338</v>
      </c>
      <c r="H3633" t="n">
        <v>0.011451268899855</v>
      </c>
      <c r="I3633" t="n">
        <v>0.6101918336606211</v>
      </c>
      <c r="J3633" t="n">
        <v>0.0657515651425689</v>
      </c>
      <c r="K3633" t="n">
        <v>0.4037976408238899</v>
      </c>
      <c r="L3633" t="b">
        <v>0</v>
      </c>
      <c r="M3633" t="b">
        <v>0</v>
      </c>
      <c r="N3633" t="inlineStr">
        <is>
          <t>ref</t>
        </is>
      </c>
      <c r="O3633" t="n">
        <v>-100</v>
      </c>
      <c r="P3633" t="n">
        <v>0.001766</v>
      </c>
      <c r="Q3633" t="n">
        <v>-95</v>
      </c>
      <c r="R3633" t="n">
        <v>0.1794</v>
      </c>
      <c r="S3633">
        <f>IMAGE("https://mitra.stanford.edu/kundaje/oak/projects/neuro-variants/variant_position/credible/roussos_2024/variant_figures/roussos_2024.adolescence.Astrocyte/rs147044092_count_position.png",4,220,900)</f>
        <v/>
      </c>
      <c r="T3633">
        <f>IMAGE("https://mitra.stanford.edu/kundaje/oak/projects/neuro-variants/variant_position/credible/roussos_2024/variant_figures/roussos_2024.adolescence.Astrocyte/rs147044092_profile_position.png",4,220,900)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0.08751613599999999</v>
      </c>
      <c r="G3634" t="n">
        <v>0.113350561737933</v>
      </c>
      <c r="H3634" t="n">
        <v>0.0129831338523846</v>
      </c>
      <c r="I3634" t="n">
        <v>0.4683048406628614</v>
      </c>
      <c r="J3634" t="n">
        <v>0.0045789692312256</v>
      </c>
      <c r="K3634" t="n">
        <v>0.8042674058555143</v>
      </c>
      <c r="L3634" t="b">
        <v>0</v>
      </c>
      <c r="M3634" t="b">
        <v>0</v>
      </c>
      <c r="N3634" t="inlineStr">
        <is>
          <t>alt</t>
        </is>
      </c>
      <c r="O3634" t="n">
        <v>-65</v>
      </c>
      <c r="P3634" t="n">
        <v>0.01222</v>
      </c>
      <c r="Q3634" t="n">
        <v>-10</v>
      </c>
      <c r="R3634" t="n">
        <v>0.01538</v>
      </c>
      <c r="S3634">
        <f>IMAGE("https://mitra.stanford.edu/kundaje/oak/projects/neuro-variants/variant_position/credible/roussos_2024/variant_figures/roussos_2024.adolescence.Astrocyte/rs59034682_count_position.png",4,220,900)</f>
        <v/>
      </c>
      <c r="T3634">
        <f>IMAGE("https://mitra.stanford.edu/kundaje/oak/projects/neuro-variants/variant_position/credible/roussos_2024/variant_figures/roussos_2024.adolescence.Astrocyte/rs59034682_profile_position.png",4,220,900)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0.0808453012</v>
      </c>
      <c r="G3635" t="n">
        <v>0.1219624112696064</v>
      </c>
      <c r="H3635" t="n">
        <v>0.0187340116797331</v>
      </c>
      <c r="I3635" t="n">
        <v>0.1670079120584138</v>
      </c>
      <c r="J3635" t="n">
        <v>0.0003530842951665</v>
      </c>
      <c r="K3635" t="n">
        <v>0.9293341218949512</v>
      </c>
      <c r="L3635" t="b">
        <v>0</v>
      </c>
      <c r="M3635" t="b">
        <v>0</v>
      </c>
      <c r="N3635" t="inlineStr">
        <is>
          <t>alt</t>
        </is>
      </c>
      <c r="O3635" t="n">
        <v>100</v>
      </c>
      <c r="P3635" t="n">
        <v>0.01857</v>
      </c>
      <c r="Q3635" t="n">
        <v>-100</v>
      </c>
      <c r="R3635" t="n">
        <v>0.0781</v>
      </c>
      <c r="S3635">
        <f>IMAGE("https://mitra.stanford.edu/kundaje/oak/projects/neuro-variants/variant_position/credible/roussos_2024/variant_figures/roussos_2024.adolescence.Astrocyte/rs113650580_count_position.png",4,220,900)</f>
        <v/>
      </c>
      <c r="T3635">
        <f>IMAGE("https://mitra.stanford.edu/kundaje/oak/projects/neuro-variants/variant_position/credible/roussos_2024/variant_figures/roussos_2024.adolescence.Astrocyte/rs113650580_profile_position.png",4,220,900)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0.0606432837999999</v>
      </c>
      <c r="G3636" t="n">
        <v>0.1798798327403299</v>
      </c>
      <c r="H3636" t="n">
        <v>0.0120485529871472</v>
      </c>
      <c r="I3636" t="n">
        <v>0.5205532128930196</v>
      </c>
      <c r="J3636" t="n">
        <v>0.0194626591104648</v>
      </c>
      <c r="K3636" t="n">
        <v>0.5792394564824608</v>
      </c>
      <c r="L3636" t="b">
        <v>0</v>
      </c>
      <c r="M3636" t="b">
        <v>0</v>
      </c>
      <c r="N3636" t="inlineStr">
        <is>
          <t>alt</t>
        </is>
      </c>
      <c r="O3636" t="n">
        <v>45</v>
      </c>
      <c r="P3636" t="n">
        <v>0.00633</v>
      </c>
      <c r="Q3636" t="n">
        <v>100</v>
      </c>
      <c r="R3636" t="n">
        <v>0.11145</v>
      </c>
      <c r="S3636">
        <f>IMAGE("https://mitra.stanford.edu/kundaje/oak/projects/neuro-variants/variant_position/credible/roussos_2024/variant_figures/roussos_2024.adolescence.Astrocyte/rs79222572_count_position.png",4,220,900)</f>
        <v/>
      </c>
      <c r="T3636">
        <f>IMAGE("https://mitra.stanford.edu/kundaje/oak/projects/neuro-variants/variant_position/credible/roussos_2024/variant_figures/roussos_2024.adolescence.Astrocyte/rs79222572_profile_position.png",4,220,900)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0.00258979966</v>
      </c>
      <c r="G3637" t="n">
        <v>0.8146719300538338</v>
      </c>
      <c r="H3637" t="n">
        <v>0.0226132735864147</v>
      </c>
      <c r="I3637" t="n">
        <v>0.0902281064510254</v>
      </c>
      <c r="J3637" t="n">
        <v>0.0002633296739162</v>
      </c>
      <c r="K3637" t="n">
        <v>0.9603530211571892</v>
      </c>
      <c r="L3637" t="b">
        <v>0</v>
      </c>
      <c r="M3637" t="b">
        <v>0</v>
      </c>
      <c r="N3637" t="inlineStr">
        <is>
          <t>alt</t>
        </is>
      </c>
      <c r="O3637" t="n">
        <v>10</v>
      </c>
      <c r="P3637" t="n">
        <v>0.001114</v>
      </c>
      <c r="Q3637" t="n">
        <v>5</v>
      </c>
      <c r="R3637" t="n">
        <v>0.01279</v>
      </c>
      <c r="S3637">
        <f>IMAGE("https://mitra.stanford.edu/kundaje/oak/projects/neuro-variants/variant_position/credible/roussos_2024/variant_figures/roussos_2024.adolescence.Astrocyte/rs55855028_count_position.png",4,220,900)</f>
        <v/>
      </c>
      <c r="T3637">
        <f>IMAGE("https://mitra.stanford.edu/kundaje/oak/projects/neuro-variants/variant_position/credible/roussos_2024/variant_figures/roussos_2024.adolescence.Astrocyte/rs55855028_profile_position.png",4,220,900)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0.00175669566</v>
      </c>
      <c r="G3638" t="n">
        <v>0.8417629791370546</v>
      </c>
      <c r="H3638" t="n">
        <v>0.0111844700494591</v>
      </c>
      <c r="I3638" t="n">
        <v>0.6376061090609498</v>
      </c>
      <c r="J3638" t="n">
        <v>0.000271489184939</v>
      </c>
      <c r="K3638" t="n">
        <v>0.9687691037408408</v>
      </c>
      <c r="L3638" t="b">
        <v>0</v>
      </c>
      <c r="M3638" t="b">
        <v>0</v>
      </c>
      <c r="N3638" t="inlineStr">
        <is>
          <t>alt</t>
        </is>
      </c>
      <c r="O3638" t="n">
        <v>75</v>
      </c>
      <c r="P3638" t="n">
        <v>0.03003</v>
      </c>
      <c r="Q3638" t="n">
        <v>-65</v>
      </c>
      <c r="R3638" t="n">
        <v>0.11426</v>
      </c>
      <c r="S3638">
        <f>IMAGE("https://mitra.stanford.edu/kundaje/oak/projects/neuro-variants/variant_position/credible/roussos_2024/variant_figures/roussos_2024.adolescence.Astrocyte/rs75952763_count_position.png",4,220,900)</f>
        <v/>
      </c>
      <c r="T3638">
        <f>IMAGE("https://mitra.stanford.edu/kundaje/oak/projects/neuro-variants/variant_position/credible/roussos_2024/variant_figures/roussos_2024.adolescence.Astrocyte/rs75952763_profile_position.png",4,220,900)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0.0051644674</v>
      </c>
      <c r="G3639" t="n">
        <v>0.8558938684747759</v>
      </c>
      <c r="H3639" t="n">
        <v>0.0283252954616282</v>
      </c>
      <c r="I3639" t="n">
        <v>0.0400360210037836</v>
      </c>
      <c r="J3639" t="n">
        <v>0.0001372281399281</v>
      </c>
      <c r="K3639" t="n">
        <v>0.9723769676188392</v>
      </c>
      <c r="L3639" t="b">
        <v>0</v>
      </c>
      <c r="M3639" t="b">
        <v>0</v>
      </c>
      <c r="N3639" t="inlineStr">
        <is>
          <t>alt</t>
        </is>
      </c>
      <c r="O3639" t="n">
        <v>100</v>
      </c>
      <c r="P3639" t="n">
        <v>0.00537</v>
      </c>
      <c r="Q3639" t="n">
        <v>-30</v>
      </c>
      <c r="R3639" t="n">
        <v>0.02283</v>
      </c>
      <c r="S3639">
        <f>IMAGE("https://mitra.stanford.edu/kundaje/oak/projects/neuro-variants/variant_position/credible/roussos_2024/variant_figures/roussos_2024.adolescence.Astrocyte/rs9347029_count_position.png",4,220,900)</f>
        <v/>
      </c>
      <c r="T3639">
        <f>IMAGE("https://mitra.stanford.edu/kundaje/oak/projects/neuro-variants/variant_position/credible/roussos_2024/variant_figures/roussos_2024.adolescence.Astrocyte/rs9347029_profile_position.png",4,220,900)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-0.09125616659999999</v>
      </c>
      <c r="G3640" t="n">
        <v>0.1253825549830095</v>
      </c>
      <c r="H3640" t="n">
        <v>0.0117978394090266</v>
      </c>
      <c r="I3640" t="n">
        <v>0.5687234894272637</v>
      </c>
      <c r="J3640" t="n">
        <v>0.0002640714476455</v>
      </c>
      <c r="K3640" t="n">
        <v>0.9507560194621932</v>
      </c>
      <c r="L3640" t="b">
        <v>0</v>
      </c>
      <c r="M3640" t="b">
        <v>0</v>
      </c>
      <c r="N3640" t="inlineStr">
        <is>
          <t>ref</t>
        </is>
      </c>
      <c r="O3640" t="n">
        <v>70</v>
      </c>
      <c r="P3640" t="n">
        <v>0.1273</v>
      </c>
      <c r="Q3640" t="n">
        <v>85</v>
      </c>
      <c r="R3640" t="n">
        <v>0.2078</v>
      </c>
      <c r="S3640">
        <f>IMAGE("https://mitra.stanford.edu/kundaje/oak/projects/neuro-variants/variant_position/credible/roussos_2024/variant_figures/roussos_2024.adolescence.Astrocyte/rs1912669_count_position.png",4,220,900)</f>
        <v/>
      </c>
      <c r="T3640">
        <f>IMAGE("https://mitra.stanford.edu/kundaje/oak/projects/neuro-variants/variant_position/credible/roussos_2024/variant_figures/roussos_2024.adolescence.Astrocyte/rs1912669_profile_position.png",4,220,900)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-0.223225042</v>
      </c>
      <c r="G3641" t="n">
        <v>0.0146094054156094</v>
      </c>
      <c r="H3641" t="n">
        <v>0.0190431252531484</v>
      </c>
      <c r="I3641" t="n">
        <v>0.1607944100927718</v>
      </c>
      <c r="J3641" t="n">
        <v>0.6736032400676497</v>
      </c>
      <c r="K3641" t="n">
        <v>0.0206986935548371</v>
      </c>
      <c r="L3641" t="b">
        <v>1</v>
      </c>
      <c r="M3641" t="b">
        <v>0</v>
      </c>
      <c r="N3641" t="inlineStr">
        <is>
          <t>ref</t>
        </is>
      </c>
      <c r="O3641" t="n">
        <v>65</v>
      </c>
      <c r="P3641" t="n">
        <v>0.05408</v>
      </c>
      <c r="Q3641" t="n">
        <v>90</v>
      </c>
      <c r="R3641" t="n">
        <v>0.4224</v>
      </c>
      <c r="S3641">
        <f>IMAGE("https://mitra.stanford.edu/kundaje/oak/projects/neuro-variants/variant_position/credible/roussos_2024/variant_figures/roussos_2024.adolescence.Astrocyte/rs978164_count_position.png",4,220,900)</f>
        <v/>
      </c>
      <c r="T3641">
        <f>IMAGE("https://mitra.stanford.edu/kundaje/oak/projects/neuro-variants/variant_position/credible/roussos_2024/variant_figures/roussos_2024.adolescence.Astrocyte/rs978164_profile_position.png",4,220,900)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-0.1300811994</v>
      </c>
      <c r="G3642" t="n">
        <v>0.0691227903383861</v>
      </c>
      <c r="H3642" t="n">
        <v>0.0243776994064866</v>
      </c>
      <c r="I3642" t="n">
        <v>0.0736771064052774</v>
      </c>
      <c r="J3642" t="n">
        <v>0.0064934872266563</v>
      </c>
      <c r="K3642" t="n">
        <v>0.7288135008725752</v>
      </c>
      <c r="L3642" t="b">
        <v>0</v>
      </c>
      <c r="M3642" t="b">
        <v>0</v>
      </c>
      <c r="N3642" t="inlineStr">
        <is>
          <t>ref</t>
        </is>
      </c>
      <c r="O3642" t="n">
        <v>-35</v>
      </c>
      <c r="P3642" t="n">
        <v>0.00756</v>
      </c>
      <c r="Q3642" t="n">
        <v>90</v>
      </c>
      <c r="R3642" t="n">
        <v>0.2241</v>
      </c>
      <c r="S3642">
        <f>IMAGE("https://mitra.stanford.edu/kundaje/oak/projects/neuro-variants/variant_position/credible/roussos_2024/variant_figures/roussos_2024.adolescence.Astrocyte/rs1467085_count_position.png",4,220,900)</f>
        <v/>
      </c>
      <c r="T3642">
        <f>IMAGE("https://mitra.stanford.edu/kundaje/oak/projects/neuro-variants/variant_position/credible/roussos_2024/variant_figures/roussos_2024.adolescence.Astrocyte/rs1467085_profile_position.png",4,220,900)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0.09267887999999989</v>
      </c>
      <c r="G3643" t="n">
        <v>0.09477848278586321</v>
      </c>
      <c r="H3643" t="n">
        <v>0.0312667411662116</v>
      </c>
      <c r="I3643" t="n">
        <v>0.0267173649010661</v>
      </c>
      <c r="J3643" t="n">
        <v>0.0228065750823368</v>
      </c>
      <c r="K3643" t="n">
        <v>0.5553257634560584</v>
      </c>
      <c r="L3643" t="b">
        <v>0</v>
      </c>
      <c r="M3643" t="b">
        <v>0</v>
      </c>
      <c r="N3643" t="inlineStr">
        <is>
          <t>alt</t>
        </is>
      </c>
      <c r="O3643" t="n">
        <v>75</v>
      </c>
      <c r="P3643" t="n">
        <v>0.0258</v>
      </c>
      <c r="Q3643" t="n">
        <v>-75</v>
      </c>
      <c r="R3643" t="n">
        <v>0.0885</v>
      </c>
      <c r="S3643">
        <f>IMAGE("https://mitra.stanford.edu/kundaje/oak/projects/neuro-variants/variant_position/credible/roussos_2024/variant_figures/roussos_2024.adolescence.Astrocyte/rs1995942_count_position.png",4,220,900)</f>
        <v/>
      </c>
      <c r="T3643">
        <f>IMAGE("https://mitra.stanford.edu/kundaje/oak/projects/neuro-variants/variant_position/credible/roussos_2024/variant_figures/roussos_2024.adolescence.Astrocyte/rs1995942_profile_position.png",4,220,900)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-0.0286036696</v>
      </c>
      <c r="G3644" t="n">
        <v>0.4186150171127225</v>
      </c>
      <c r="H3644" t="n">
        <v>0.009821042567643899</v>
      </c>
      <c r="I3644" t="n">
        <v>0.7730774113496232</v>
      </c>
      <c r="J3644" t="n">
        <v>0.1587529300062308</v>
      </c>
      <c r="K3644" t="n">
        <v>0.2443047062641164</v>
      </c>
      <c r="L3644" t="b">
        <v>0</v>
      </c>
      <c r="M3644" t="b">
        <v>0</v>
      </c>
      <c r="N3644" t="inlineStr">
        <is>
          <t>ref</t>
        </is>
      </c>
      <c r="O3644" t="n">
        <v>-60</v>
      </c>
      <c r="P3644" t="n">
        <v>0.001884</v>
      </c>
      <c r="Q3644" t="n">
        <v>-45</v>
      </c>
      <c r="R3644" t="n">
        <v>0.05972</v>
      </c>
      <c r="S3644">
        <f>IMAGE("https://mitra.stanford.edu/kundaje/oak/projects/neuro-variants/variant_position/credible/roussos_2024/variant_figures/roussos_2024.adolescence.Astrocyte/rs2092778_count_position.png",4,220,900)</f>
        <v/>
      </c>
      <c r="T3644">
        <f>IMAGE("https://mitra.stanford.edu/kundaje/oak/projects/neuro-variants/variant_position/credible/roussos_2024/variant_figures/roussos_2024.adolescence.Astrocyte/rs2092778_profile_position.png",4,220,900)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-0.147440515</v>
      </c>
      <c r="G3645" t="n">
        <v>0.0451576234896621</v>
      </c>
      <c r="H3645" t="n">
        <v>0.01916024464514</v>
      </c>
      <c r="I3645" t="n">
        <v>0.16249893280444</v>
      </c>
      <c r="J3645" t="n">
        <v>0.4258159511022757</v>
      </c>
      <c r="K3645" t="n">
        <v>0.07824964706312371</v>
      </c>
      <c r="L3645" t="b">
        <v>0</v>
      </c>
      <c r="M3645" t="b">
        <v>0</v>
      </c>
      <c r="N3645" t="inlineStr">
        <is>
          <t>ref</t>
        </is>
      </c>
      <c r="O3645" t="n">
        <v>65</v>
      </c>
      <c r="P3645" t="n">
        <v>0.000702</v>
      </c>
      <c r="Q3645" t="n">
        <v>15</v>
      </c>
      <c r="R3645" t="n">
        <v>0.03516</v>
      </c>
      <c r="S3645">
        <f>IMAGE("https://mitra.stanford.edu/kundaje/oak/projects/neuro-variants/variant_position/credible/roussos_2024/variant_figures/roussos_2024.adolescence.Astrocyte/rs6914386_count_position.png",4,220,900)</f>
        <v/>
      </c>
      <c r="T3645">
        <f>IMAGE("https://mitra.stanford.edu/kundaje/oak/projects/neuro-variants/variant_position/credible/roussos_2024/variant_figures/roussos_2024.adolescence.Astrocyte/rs6914386_profile_position.png",4,220,900)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-0.02177634314</v>
      </c>
      <c r="G3646" t="n">
        <v>0.5014004616079698</v>
      </c>
      <c r="H3646" t="n">
        <v>0.0163719578527742</v>
      </c>
      <c r="I3646" t="n">
        <v>0.2539476098237251</v>
      </c>
      <c r="J3646" t="n">
        <v>0.0295329792600064</v>
      </c>
      <c r="K3646" t="n">
        <v>0.524371804993532</v>
      </c>
      <c r="L3646" t="b">
        <v>0</v>
      </c>
      <c r="M3646" t="b">
        <v>0</v>
      </c>
      <c r="N3646" t="inlineStr">
        <is>
          <t>ref</t>
        </is>
      </c>
      <c r="O3646" t="n">
        <v>70</v>
      </c>
      <c r="P3646" t="n">
        <v>0.003403</v>
      </c>
      <c r="Q3646" t="n">
        <v>-100</v>
      </c>
      <c r="R3646" t="n">
        <v>0.04803</v>
      </c>
      <c r="S3646">
        <f>IMAGE("https://mitra.stanford.edu/kundaje/oak/projects/neuro-variants/variant_position/credible/roussos_2024/variant_figures/roussos_2024.adolescence.Astrocyte/rs78450636_count_position.png",4,220,900)</f>
        <v/>
      </c>
      <c r="T3646">
        <f>IMAGE("https://mitra.stanford.edu/kundaje/oak/projects/neuro-variants/variant_position/credible/roussos_2024/variant_figures/roussos_2024.adolescence.Astrocyte/rs78450636_profile_position.png",4,220,900)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-0.06784069700000001</v>
      </c>
      <c r="G3647" t="n">
        <v>0.1598740874378708</v>
      </c>
      <c r="H3647" t="n">
        <v>0.013714212985767</v>
      </c>
      <c r="I3647" t="n">
        <v>0.410627028819503</v>
      </c>
      <c r="J3647" t="n">
        <v>0.3804817078598344</v>
      </c>
      <c r="K3647" t="n">
        <v>0.0963004867449116</v>
      </c>
      <c r="L3647" t="b">
        <v>0</v>
      </c>
      <c r="M3647" t="b">
        <v>0</v>
      </c>
      <c r="N3647" t="inlineStr">
        <is>
          <t>ref</t>
        </is>
      </c>
      <c r="O3647" t="n">
        <v>-100</v>
      </c>
      <c r="P3647" t="n">
        <v>0.002123</v>
      </c>
      <c r="Q3647" t="n">
        <v>30</v>
      </c>
      <c r="R3647" t="n">
        <v>0.0459</v>
      </c>
      <c r="S3647">
        <f>IMAGE("https://mitra.stanford.edu/kundaje/oak/projects/neuro-variants/variant_position/credible/roussos_2024/variant_figures/roussos_2024.adolescence.Astrocyte/rs9366218_count_position.png",4,220,900)</f>
        <v/>
      </c>
      <c r="T3647">
        <f>IMAGE("https://mitra.stanford.edu/kundaje/oak/projects/neuro-variants/variant_position/credible/roussos_2024/variant_figures/roussos_2024.adolescence.Astrocyte/rs9366218_profile_position.png",4,220,900)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-0.1187478314</v>
      </c>
      <c r="G3648" t="n">
        <v>0.06481627289198599</v>
      </c>
      <c r="H3648" t="n">
        <v>0.0160959715603236</v>
      </c>
      <c r="I3648" t="n">
        <v>0.2677579519804239</v>
      </c>
      <c r="J3648" t="n">
        <v>0.0361555351155683</v>
      </c>
      <c r="K3648" t="n">
        <v>0.5000113336540006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0.01852</v>
      </c>
      <c r="Q3648" t="n">
        <v>100</v>
      </c>
      <c r="R3648" t="n">
        <v>0.2258</v>
      </c>
      <c r="S3648">
        <f>IMAGE("https://mitra.stanford.edu/kundaje/oak/projects/neuro-variants/variant_position/credible/roussos_2024/variant_figures/roussos_2024.adolescence.Astrocyte/rs10081152_count_position.png",4,220,900)</f>
        <v/>
      </c>
      <c r="T3648">
        <f>IMAGE("https://mitra.stanford.edu/kundaje/oak/projects/neuro-variants/variant_position/credible/roussos_2024/variant_figures/roussos_2024.adolescence.Astrocyte/rs10081152_profile_position.png",4,220,900)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0.0498751767</v>
      </c>
      <c r="G3649" t="n">
        <v>0.2472226704426348</v>
      </c>
      <c r="H3649" t="n">
        <v>0.0165325209972856</v>
      </c>
      <c r="I3649" t="n">
        <v>0.2648291610352722</v>
      </c>
      <c r="J3649" t="n">
        <v>0.318457555707207</v>
      </c>
      <c r="K3649" t="n">
        <v>0.1248334276298713</v>
      </c>
      <c r="L3649" t="b">
        <v>0</v>
      </c>
      <c r="M3649" t="b">
        <v>0</v>
      </c>
      <c r="N3649" t="inlineStr">
        <is>
          <t>alt</t>
        </is>
      </c>
      <c r="O3649" t="n">
        <v>-75</v>
      </c>
      <c r="P3649" t="n">
        <v>0.008995</v>
      </c>
      <c r="Q3649" t="n">
        <v>-100</v>
      </c>
      <c r="R3649" t="n">
        <v>0.1482</v>
      </c>
      <c r="S3649">
        <f>IMAGE("https://mitra.stanford.edu/kundaje/oak/projects/neuro-variants/variant_position/credible/roussos_2024/variant_figures/roussos_2024.adolescence.Astrocyte/rs12532128_count_position.png",4,220,900)</f>
        <v/>
      </c>
      <c r="T3649">
        <f>IMAGE("https://mitra.stanford.edu/kundaje/oak/projects/neuro-variants/variant_position/credible/roussos_2024/variant_figures/roussos_2024.adolescence.Astrocyte/rs12532128_profile_position.png",4,220,900)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-0.0617276345999999</v>
      </c>
      <c r="G3650" t="n">
        <v>0.1875379810387047</v>
      </c>
      <c r="H3650" t="n">
        <v>0.0202819489303438</v>
      </c>
      <c r="I3650" t="n">
        <v>0.1344728084008168</v>
      </c>
      <c r="J3650" t="n">
        <v>0.5590170014538766</v>
      </c>
      <c r="K3650" t="n">
        <v>0.0420726604332874</v>
      </c>
      <c r="L3650" t="b">
        <v>0</v>
      </c>
      <c r="M3650" t="b">
        <v>0</v>
      </c>
      <c r="N3650" t="inlineStr">
        <is>
          <t>ref</t>
        </is>
      </c>
      <c r="O3650" t="n">
        <v>95</v>
      </c>
      <c r="P3650" t="n">
        <v>0.00797</v>
      </c>
      <c r="Q3650" t="n">
        <v>30</v>
      </c>
      <c r="R3650" t="n">
        <v>0.05933</v>
      </c>
      <c r="S3650">
        <f>IMAGE("https://mitra.stanford.edu/kundaje/oak/projects/neuro-variants/variant_position/credible/roussos_2024/variant_figures/roussos_2024.adolescence.Astrocyte/rs4236277_count_position.png",4,220,900)</f>
        <v/>
      </c>
      <c r="T3650">
        <f>IMAGE("https://mitra.stanford.edu/kundaje/oak/projects/neuro-variants/variant_position/credible/roussos_2024/variant_figures/roussos_2024.adolescence.Astrocyte/rs4236277_profile_position.png",4,220,900)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-0.0453056448</v>
      </c>
      <c r="G3651" t="n">
        <v>0.2748623230598784</v>
      </c>
      <c r="H3651" t="n">
        <v>0.0117280096597102</v>
      </c>
      <c r="I3651" t="n">
        <v>0.5653665605014995</v>
      </c>
      <c r="J3651" t="n">
        <v>0.5235513159065959</v>
      </c>
      <c r="K3651" t="n">
        <v>0.0464327424311768</v>
      </c>
      <c r="L3651" t="b">
        <v>0</v>
      </c>
      <c r="M3651" t="b">
        <v>0</v>
      </c>
      <c r="N3651" t="inlineStr">
        <is>
          <t>ref</t>
        </is>
      </c>
      <c r="O3651" t="n">
        <v>-25</v>
      </c>
      <c r="P3651" t="n">
        <v>0.004677</v>
      </c>
      <c r="Q3651" t="n">
        <v>-15</v>
      </c>
      <c r="R3651" t="n">
        <v>0.1302</v>
      </c>
      <c r="S3651">
        <f>IMAGE("https://mitra.stanford.edu/kundaje/oak/projects/neuro-variants/variant_position/credible/roussos_2024/variant_figures/roussos_2024.adolescence.Astrocyte/rs12699439_count_position.png",4,220,900)</f>
        <v/>
      </c>
      <c r="T3651">
        <f>IMAGE("https://mitra.stanford.edu/kundaje/oak/projects/neuro-variants/variant_position/credible/roussos_2024/variant_figures/roussos_2024.adolescence.Astrocyte/rs12699439_profile_position.png",4,220,900)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0.1369727419999999</v>
      </c>
      <c r="G3652" t="n">
        <v>0.0415115298823602</v>
      </c>
      <c r="H3652" t="n">
        <v>0.012220821389678</v>
      </c>
      <c r="I3652" t="n">
        <v>0.5321943848542128</v>
      </c>
      <c r="J3652" t="n">
        <v>0.7797176809186126</v>
      </c>
      <c r="K3652" t="n">
        <v>0.009875505006909001</v>
      </c>
      <c r="L3652" t="b">
        <v>0</v>
      </c>
      <c r="M3652" t="b">
        <v>0</v>
      </c>
      <c r="N3652" t="inlineStr">
        <is>
          <t>alt</t>
        </is>
      </c>
      <c r="O3652" t="n">
        <v>100</v>
      </c>
      <c r="P3652" t="n">
        <v>0.02892</v>
      </c>
      <c r="Q3652" t="n">
        <v>-100</v>
      </c>
      <c r="R3652" t="n">
        <v>0.11865</v>
      </c>
      <c r="S3652">
        <f>IMAGE("https://mitra.stanford.edu/kundaje/oak/projects/neuro-variants/variant_position/credible/roussos_2024/variant_figures/roussos_2024.adolescence.Astrocyte/rs79606759_count_position.png",4,220,900)</f>
        <v/>
      </c>
      <c r="T3652">
        <f>IMAGE("https://mitra.stanford.edu/kundaje/oak/projects/neuro-variants/variant_position/credible/roussos_2024/variant_figures/roussos_2024.adolescence.Astrocyte/rs79606759_profile_position.png",4,220,900)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0.00564276162</v>
      </c>
      <c r="G3653" t="n">
        <v>0.657942326511858</v>
      </c>
      <c r="H3653" t="n">
        <v>0.0307329462747014</v>
      </c>
      <c r="I3653" t="n">
        <v>0.0284422402597501</v>
      </c>
      <c r="J3653" t="n">
        <v>0.7908784084502865</v>
      </c>
      <c r="K3653" t="n">
        <v>0.0088189232437805</v>
      </c>
      <c r="L3653" t="b">
        <v>0</v>
      </c>
      <c r="M3653" t="b">
        <v>0</v>
      </c>
      <c r="N3653" t="inlineStr">
        <is>
          <t>alt</t>
        </is>
      </c>
      <c r="O3653" t="n">
        <v>90</v>
      </c>
      <c r="P3653" t="n">
        <v>0.002258</v>
      </c>
      <c r="Q3653" t="n">
        <v>100</v>
      </c>
      <c r="R3653" t="n">
        <v>0.1166</v>
      </c>
      <c r="S3653">
        <f>IMAGE("https://mitra.stanford.edu/kundaje/oak/projects/neuro-variants/variant_position/credible/roussos_2024/variant_figures/roussos_2024.adolescence.Astrocyte/rs76150572_count_position.png",4,220,900)</f>
        <v/>
      </c>
      <c r="T3653">
        <f>IMAGE("https://mitra.stanford.edu/kundaje/oak/projects/neuro-variants/variant_position/credible/roussos_2024/variant_figures/roussos_2024.adolescence.Astrocyte/rs76150572_profile_position.png",4,220,900)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0.00274348042</v>
      </c>
      <c r="G3654" t="n">
        <v>0.7556371058671766</v>
      </c>
      <c r="H3654" t="n">
        <v>0.0066666210912733</v>
      </c>
      <c r="I3654" t="n">
        <v>0.982035594911119</v>
      </c>
      <c r="J3654" t="n">
        <v>0.0364314749428833</v>
      </c>
      <c r="K3654" t="n">
        <v>0.4867118172860974</v>
      </c>
      <c r="L3654" t="b">
        <v>0</v>
      </c>
      <c r="M3654" t="b">
        <v>0</v>
      </c>
      <c r="N3654" t="inlineStr">
        <is>
          <t>alt</t>
        </is>
      </c>
      <c r="O3654" t="n">
        <v>40</v>
      </c>
      <c r="P3654" t="n">
        <v>0.00135</v>
      </c>
      <c r="Q3654" t="n">
        <v>-35</v>
      </c>
      <c r="R3654" t="n">
        <v>0.02066</v>
      </c>
      <c r="S3654">
        <f>IMAGE("https://mitra.stanford.edu/kundaje/oak/projects/neuro-variants/variant_position/credible/roussos_2024/variant_figures/roussos_2024.adolescence.Astrocyte/rs117831773_count_position.png",4,220,900)</f>
        <v/>
      </c>
      <c r="T3654">
        <f>IMAGE("https://mitra.stanford.edu/kundaje/oak/projects/neuro-variants/variant_position/credible/roussos_2024/variant_figures/roussos_2024.adolescence.Astrocyte/rs117831773_profile_position.png",4,220,900)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-0.0072757026</v>
      </c>
      <c r="G3655" t="n">
        <v>0.396138066955474</v>
      </c>
      <c r="H3655" t="n">
        <v>0.0127401600791123</v>
      </c>
      <c r="I3655" t="n">
        <v>0.489701195474011</v>
      </c>
      <c r="J3655" t="n">
        <v>0.2786539773907367</v>
      </c>
      <c r="K3655" t="n">
        <v>0.1457767077963081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0.008630000000000001</v>
      </c>
      <c r="Q3655" t="n">
        <v>-60</v>
      </c>
      <c r="R3655" t="n">
        <v>0.0327</v>
      </c>
      <c r="S3655">
        <f>IMAGE("https://mitra.stanford.edu/kundaje/oak/projects/neuro-variants/variant_position/credible/roussos_2024/variant_figures/roussos_2024.adolescence.Astrocyte/rs75285243_count_position.png",4,220,900)</f>
        <v/>
      </c>
      <c r="T3655">
        <f>IMAGE("https://mitra.stanford.edu/kundaje/oak/projects/neuro-variants/variant_position/credible/roussos_2024/variant_figures/roussos_2024.adolescence.Astrocyte/rs75285243_profile_position.png",4,220,900)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0.0632346392</v>
      </c>
      <c r="G3656" t="n">
        <v>0.1495881454755211</v>
      </c>
      <c r="H3656" t="n">
        <v>0.0136821611615669</v>
      </c>
      <c r="I3656" t="n">
        <v>0.4132706365773875</v>
      </c>
      <c r="J3656" t="n">
        <v>0.2548905141975491</v>
      </c>
      <c r="K3656" t="n">
        <v>0.1610186614815047</v>
      </c>
      <c r="L3656" t="b">
        <v>0</v>
      </c>
      <c r="M3656" t="b">
        <v>0</v>
      </c>
      <c r="N3656" t="inlineStr">
        <is>
          <t>alt</t>
        </is>
      </c>
      <c r="O3656" t="n">
        <v>70</v>
      </c>
      <c r="P3656" t="n">
        <v>0.0119</v>
      </c>
      <c r="Q3656" t="n">
        <v>70</v>
      </c>
      <c r="R3656" t="n">
        <v>0.07935</v>
      </c>
      <c r="S3656">
        <f>IMAGE("https://mitra.stanford.edu/kundaje/oak/projects/neuro-variants/variant_position/credible/roussos_2024/variant_figures/roussos_2024.adolescence.Astrocyte/rs76124438_count_position.png",4,220,900)</f>
        <v/>
      </c>
      <c r="T3656">
        <f>IMAGE("https://mitra.stanford.edu/kundaje/oak/projects/neuro-variants/variant_position/credible/roussos_2024/variant_figures/roussos_2024.adolescence.Astrocyte/rs76124438_profile_position.png",4,220,900)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-0.1093377996</v>
      </c>
      <c r="G3657" t="n">
        <v>0.0767965613611044</v>
      </c>
      <c r="H3657" t="n">
        <v>0.0211944762326572</v>
      </c>
      <c r="I3657" t="n">
        <v>0.1181228046664807</v>
      </c>
      <c r="J3657" t="n">
        <v>0.4489081090704091</v>
      </c>
      <c r="K3657" t="n">
        <v>0.0713340598082931</v>
      </c>
      <c r="L3657" t="b">
        <v>0</v>
      </c>
      <c r="M3657" t="b">
        <v>0</v>
      </c>
      <c r="N3657" t="inlineStr">
        <is>
          <t>ref</t>
        </is>
      </c>
      <c r="O3657" t="n">
        <v>5</v>
      </c>
      <c r="P3657" t="n">
        <v>0.0001602</v>
      </c>
      <c r="Q3657" t="n">
        <v>100</v>
      </c>
      <c r="R3657" t="n">
        <v>0.1929</v>
      </c>
      <c r="S3657">
        <f>IMAGE("https://mitra.stanford.edu/kundaje/oak/projects/neuro-variants/variant_position/credible/roussos_2024/variant_figures/roussos_2024.adolescence.Astrocyte/rs112393694_count_position.png",4,220,900)</f>
        <v/>
      </c>
      <c r="T3657">
        <f>IMAGE("https://mitra.stanford.edu/kundaje/oak/projects/neuro-variants/variant_position/credible/roussos_2024/variant_figures/roussos_2024.adolescence.Astrocyte/rs112393694_profile_position.png",4,220,900)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-0.1567582432</v>
      </c>
      <c r="G3658" t="n">
        <v>0.0372153302945861</v>
      </c>
      <c r="H3658" t="n">
        <v>0.0231956872285405</v>
      </c>
      <c r="I3658" t="n">
        <v>0.0844067986959289</v>
      </c>
      <c r="J3658" t="n">
        <v>0.0333004480313324</v>
      </c>
      <c r="K3658" t="n">
        <v>0.496263219134142</v>
      </c>
      <c r="L3658" t="b">
        <v>0</v>
      </c>
      <c r="M3658" t="b">
        <v>0</v>
      </c>
      <c r="N3658" t="inlineStr">
        <is>
          <t>ref</t>
        </is>
      </c>
      <c r="O3658" t="n">
        <v>100</v>
      </c>
      <c r="P3658" t="n">
        <v>0.05774</v>
      </c>
      <c r="Q3658" t="n">
        <v>-70</v>
      </c>
      <c r="R3658" t="n">
        <v>0.0818</v>
      </c>
      <c r="S3658">
        <f>IMAGE("https://mitra.stanford.edu/kundaje/oak/projects/neuro-variants/variant_position/credible/roussos_2024/variant_figures/roussos_2024.adolescence.Astrocyte/rs79231966_count_position.png",4,220,900)</f>
        <v/>
      </c>
      <c r="T3658">
        <f>IMAGE("https://mitra.stanford.edu/kundaje/oak/projects/neuro-variants/variant_position/credible/roussos_2024/variant_figures/roussos_2024.adolescence.Astrocyte/rs79231966_profile_position.png",4,220,900)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0.0240591023999999</v>
      </c>
      <c r="G3659" t="n">
        <v>0.1772450261643059</v>
      </c>
      <c r="H3659" t="n">
        <v>0.0106476627315452</v>
      </c>
      <c r="I3659" t="n">
        <v>0.6848916742892476</v>
      </c>
      <c r="J3659" t="n">
        <v>0.0074184790671453</v>
      </c>
      <c r="K3659" t="n">
        <v>0.7025905096497156</v>
      </c>
      <c r="L3659" t="b">
        <v>0</v>
      </c>
      <c r="M3659" t="b">
        <v>0</v>
      </c>
      <c r="N3659" t="inlineStr">
        <is>
          <t>alt</t>
        </is>
      </c>
      <c r="O3659" t="n">
        <v>-100</v>
      </c>
      <c r="P3659" t="n">
        <v>0.004845</v>
      </c>
      <c r="Q3659" t="n">
        <v>-45</v>
      </c>
      <c r="R3659" t="n">
        <v>0.02979</v>
      </c>
      <c r="S3659">
        <f>IMAGE("https://mitra.stanford.edu/kundaje/oak/projects/neuro-variants/variant_position/credible/roussos_2024/variant_figures/roussos_2024.adolescence.Astrocyte/rs11972718_count_position.png",4,220,900)</f>
        <v/>
      </c>
      <c r="T3659">
        <f>IMAGE("https://mitra.stanford.edu/kundaje/oak/projects/neuro-variants/variant_position/credible/roussos_2024/variant_figures/roussos_2024.adolescence.Astrocyte/rs11972718_profile_position.png",4,220,900)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0.07236052699999999</v>
      </c>
      <c r="G3660" t="n">
        <v>0.087046923450928</v>
      </c>
      <c r="H3660" t="n">
        <v>0.015287619877553</v>
      </c>
      <c r="I3660" t="n">
        <v>0.3137095064448709</v>
      </c>
      <c r="J3660" t="n">
        <v>0.0329918701599263</v>
      </c>
      <c r="K3660" t="n">
        <v>0.5149799940600633</v>
      </c>
      <c r="L3660" t="b">
        <v>0</v>
      </c>
      <c r="M3660" t="b">
        <v>0</v>
      </c>
      <c r="N3660" t="inlineStr">
        <is>
          <t>alt</t>
        </is>
      </c>
      <c r="O3660" t="n">
        <v>30</v>
      </c>
      <c r="P3660" t="n">
        <v>0.003113</v>
      </c>
      <c r="Q3660" t="n">
        <v>-10</v>
      </c>
      <c r="R3660" t="n">
        <v>0.02588</v>
      </c>
      <c r="S3660">
        <f>IMAGE("https://mitra.stanford.edu/kundaje/oak/projects/neuro-variants/variant_position/credible/roussos_2024/variant_figures/roussos_2024.adolescence.Astrocyte/rs2040765_count_position.png",4,220,900)</f>
        <v/>
      </c>
      <c r="T3660">
        <f>IMAGE("https://mitra.stanford.edu/kundaje/oak/projects/neuro-variants/variant_position/credible/roussos_2024/variant_figures/roussos_2024.adolescence.Astrocyte/rs2040765_profile_position.png",4,220,900)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-0.0355002991</v>
      </c>
      <c r="G3661" t="n">
        <v>0.3321579877404522</v>
      </c>
      <c r="H3661" t="n">
        <v>0.0134171641949843</v>
      </c>
      <c r="I3661" t="n">
        <v>0.433104767117586</v>
      </c>
      <c r="J3661" t="n">
        <v>0.0290137376494673</v>
      </c>
      <c r="K3661" t="n">
        <v>0.5387433803407193</v>
      </c>
      <c r="L3661" t="b">
        <v>0</v>
      </c>
      <c r="M3661" t="b">
        <v>0</v>
      </c>
      <c r="N3661" t="inlineStr">
        <is>
          <t>ref</t>
        </is>
      </c>
      <c r="O3661" t="n">
        <v>100</v>
      </c>
      <c r="P3661" t="n">
        <v>0.002022</v>
      </c>
      <c r="Q3661" t="n">
        <v>-25</v>
      </c>
      <c r="R3661" t="n">
        <v>0.03955</v>
      </c>
      <c r="S3661">
        <f>IMAGE("https://mitra.stanford.edu/kundaje/oak/projects/neuro-variants/variant_position/credible/roussos_2024/variant_figures/roussos_2024.adolescence.Astrocyte/rs2040766_count_position.png",4,220,900)</f>
        <v/>
      </c>
      <c r="T3661">
        <f>IMAGE("https://mitra.stanford.edu/kundaje/oak/projects/neuro-variants/variant_position/credible/roussos_2024/variant_figures/roussos_2024.adolescence.Astrocyte/rs2040766_profile_position.png",4,220,900)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0.05930157692</v>
      </c>
      <c r="G3662" t="n">
        <v>0.2029895518689414</v>
      </c>
      <c r="H3662" t="n">
        <v>0.0100839623799617</v>
      </c>
      <c r="I3662" t="n">
        <v>0.7262969806443609</v>
      </c>
      <c r="J3662" t="n">
        <v>0.0346222888170192</v>
      </c>
      <c r="K3662" t="n">
        <v>0.5058389954075031</v>
      </c>
      <c r="L3662" t="b">
        <v>0</v>
      </c>
      <c r="M3662" t="b">
        <v>0</v>
      </c>
      <c r="N3662" t="inlineStr">
        <is>
          <t>alt</t>
        </is>
      </c>
      <c r="O3662" t="n">
        <v>85</v>
      </c>
      <c r="P3662" t="n">
        <v>0.007057</v>
      </c>
      <c r="Q3662" t="n">
        <v>-45</v>
      </c>
      <c r="R3662" t="n">
        <v>0.02979</v>
      </c>
      <c r="S3662">
        <f>IMAGE("https://mitra.stanford.edu/kundaje/oak/projects/neuro-variants/variant_position/credible/roussos_2024/variant_figures/roussos_2024.adolescence.Astrocyte/rs2040767_count_position.png",4,220,900)</f>
        <v/>
      </c>
      <c r="T3662">
        <f>IMAGE("https://mitra.stanford.edu/kundaje/oak/projects/neuro-variants/variant_position/credible/roussos_2024/variant_figures/roussos_2024.adolescence.Astrocyte/rs2040767_profile_position.png",4,220,900)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-0.008014657660000001</v>
      </c>
      <c r="G3663" t="n">
        <v>0.5526686052137444</v>
      </c>
      <c r="H3663" t="n">
        <v>0.0114934876372285</v>
      </c>
      <c r="I3663" t="n">
        <v>0.6055124113097229</v>
      </c>
      <c r="J3663" t="n">
        <v>0.053891344984126</v>
      </c>
      <c r="K3663" t="n">
        <v>0.4236976518173398</v>
      </c>
      <c r="L3663" t="b">
        <v>0</v>
      </c>
      <c r="M3663" t="b">
        <v>0</v>
      </c>
      <c r="N3663" t="inlineStr">
        <is>
          <t>ref</t>
        </is>
      </c>
      <c r="O3663" t="n">
        <v>-5</v>
      </c>
      <c r="P3663" t="n">
        <v>0.0008545</v>
      </c>
      <c r="Q3663" t="n">
        <v>-80</v>
      </c>
      <c r="R3663" t="n">
        <v>0.1195</v>
      </c>
      <c r="S3663">
        <f>IMAGE("https://mitra.stanford.edu/kundaje/oak/projects/neuro-variants/variant_position/credible/roussos_2024/variant_figures/roussos_2024.adolescence.Astrocyte/rs1557841_count_position.png",4,220,900)</f>
        <v/>
      </c>
      <c r="T3663">
        <f>IMAGE("https://mitra.stanford.edu/kundaje/oak/projects/neuro-variants/variant_position/credible/roussos_2024/variant_figures/roussos_2024.adolescence.Astrocyte/rs1557841_profile_position.png",4,220,900)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0.0378832905999999</v>
      </c>
      <c r="G3664" t="n">
        <v>0.3220275775928782</v>
      </c>
      <c r="H3664" t="n">
        <v>0.0192228289138906</v>
      </c>
      <c r="I3664" t="n">
        <v>0.1579460779767296</v>
      </c>
      <c r="J3664" t="n">
        <v>0.0025146129424679</v>
      </c>
      <c r="K3664" t="n">
        <v>0.8010914451072412</v>
      </c>
      <c r="L3664" t="b">
        <v>0</v>
      </c>
      <c r="M3664" t="b">
        <v>0</v>
      </c>
      <c r="N3664" t="inlineStr">
        <is>
          <t>alt</t>
        </is>
      </c>
      <c r="O3664" t="n">
        <v>-40</v>
      </c>
      <c r="P3664" t="n">
        <v>0.00447</v>
      </c>
      <c r="Q3664" t="n">
        <v>90</v>
      </c>
      <c r="R3664" t="n">
        <v>0.0418</v>
      </c>
      <c r="S3664">
        <f>IMAGE("https://mitra.stanford.edu/kundaje/oak/projects/neuro-variants/variant_position/credible/roussos_2024/variant_figures/roussos_2024.adolescence.Astrocyte/rs17464820_count_position.png",4,220,900)</f>
        <v/>
      </c>
      <c r="T3664">
        <f>IMAGE("https://mitra.stanford.edu/kundaje/oak/projects/neuro-variants/variant_position/credible/roussos_2024/variant_figures/roussos_2024.adolescence.Astrocyte/rs17464820_profile_position.png",4,220,900)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0.0927429018</v>
      </c>
      <c r="G3665" t="n">
        <v>0.1083559140131464</v>
      </c>
      <c r="H3665" t="n">
        <v>0.025198958716796</v>
      </c>
      <c r="I3665" t="n">
        <v>0.0618996033106437</v>
      </c>
      <c r="J3665" t="n">
        <v>0.0557932528261578</v>
      </c>
      <c r="K3665" t="n">
        <v>0.4198202402994974</v>
      </c>
      <c r="L3665" t="b">
        <v>0</v>
      </c>
      <c r="M3665" t="b">
        <v>0</v>
      </c>
      <c r="N3665" t="inlineStr">
        <is>
          <t>alt</t>
        </is>
      </c>
      <c r="O3665" t="n">
        <v>-25</v>
      </c>
      <c r="P3665" t="n">
        <v>0.004128</v>
      </c>
      <c r="Q3665" t="n">
        <v>-80</v>
      </c>
      <c r="R3665" t="n">
        <v>0.0916</v>
      </c>
      <c r="S3665">
        <f>IMAGE("https://mitra.stanford.edu/kundaje/oak/projects/neuro-variants/variant_position/credible/roussos_2024/variant_figures/roussos_2024.adolescence.Astrocyte/rs9639377_count_position.png",4,220,900)</f>
        <v/>
      </c>
      <c r="T3665">
        <f>IMAGE("https://mitra.stanford.edu/kundaje/oak/projects/neuro-variants/variant_position/credible/roussos_2024/variant_figures/roussos_2024.adolescence.Astrocyte/rs9639377_profile_position.png",4,220,900)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0.07052446699999999</v>
      </c>
      <c r="G3666" t="n">
        <v>0.1509390117391985</v>
      </c>
      <c r="H3666" t="n">
        <v>0.0125696312981264</v>
      </c>
      <c r="I3666" t="n">
        <v>0.4999756701788632</v>
      </c>
      <c r="J3666" t="n">
        <v>0.0391181793905586</v>
      </c>
      <c r="K3666" t="n">
        <v>0.4844056620083251</v>
      </c>
      <c r="L3666" t="b">
        <v>0</v>
      </c>
      <c r="M3666" t="b">
        <v>0</v>
      </c>
      <c r="N3666" t="inlineStr">
        <is>
          <t>alt</t>
        </is>
      </c>
      <c r="O3666" t="n">
        <v>-100</v>
      </c>
      <c r="P3666" t="n">
        <v>0.02783</v>
      </c>
      <c r="Q3666" t="n">
        <v>-80</v>
      </c>
      <c r="R3666" t="n">
        <v>0.1536</v>
      </c>
      <c r="S3666">
        <f>IMAGE("https://mitra.stanford.edu/kundaje/oak/projects/neuro-variants/variant_position/credible/roussos_2024/variant_figures/roussos_2024.adolescence.Astrocyte/rs7796796_count_position.png",4,220,900)</f>
        <v/>
      </c>
      <c r="T3666">
        <f>IMAGE("https://mitra.stanford.edu/kundaje/oak/projects/neuro-variants/variant_position/credible/roussos_2024/variant_figures/roussos_2024.adolescence.Astrocyte/rs7796796_profile_position.png",4,220,900)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-0.1163077972</v>
      </c>
      <c r="G3667" t="n">
        <v>0.0796501754001495</v>
      </c>
      <c r="H3667" t="n">
        <v>0.0249966724313096</v>
      </c>
      <c r="I3667" t="n">
        <v>0.0636289278751207</v>
      </c>
      <c r="J3667" t="n">
        <v>0.0072916357594279</v>
      </c>
      <c r="K3667" t="n">
        <v>0.730775111279544</v>
      </c>
      <c r="L3667" t="b">
        <v>0</v>
      </c>
      <c r="M3667" t="b">
        <v>0</v>
      </c>
      <c r="N3667" t="inlineStr">
        <is>
          <t>ref</t>
        </is>
      </c>
      <c r="O3667" t="n">
        <v>100</v>
      </c>
      <c r="P3667" t="n">
        <v>0.01614</v>
      </c>
      <c r="Q3667" t="n">
        <v>-25</v>
      </c>
      <c r="R3667" t="n">
        <v>0.01074</v>
      </c>
      <c r="S3667">
        <f>IMAGE("https://mitra.stanford.edu/kundaje/oak/projects/neuro-variants/variant_position/credible/roussos_2024/variant_figures/roussos_2024.adolescence.Astrocyte/rs6948810_count_position.png",4,220,900)</f>
        <v/>
      </c>
      <c r="T3667">
        <f>IMAGE("https://mitra.stanford.edu/kundaje/oak/projects/neuro-variants/variant_position/credible/roussos_2024/variant_figures/roussos_2024.adolescence.Astrocyte/rs6948810_profile_position.png",4,220,900)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-0.255829332</v>
      </c>
      <c r="G3668" t="n">
        <v>0.0105504196077988</v>
      </c>
      <c r="H3668" t="n">
        <v>0.0420571715194202</v>
      </c>
      <c r="I3668" t="n">
        <v>0.007977006469311</v>
      </c>
      <c r="J3668" t="n">
        <v>0.9541353885410796</v>
      </c>
      <c r="K3668" t="n">
        <v>0.0001580461326093</v>
      </c>
      <c r="L3668" t="b">
        <v>1</v>
      </c>
      <c r="M3668" t="b">
        <v>1</v>
      </c>
      <c r="N3668" t="inlineStr">
        <is>
          <t>ref</t>
        </is>
      </c>
      <c r="O3668" t="n">
        <v>-30</v>
      </c>
      <c r="P3668" t="n">
        <v>0.009766</v>
      </c>
      <c r="Q3668" t="n">
        <v>-30</v>
      </c>
      <c r="R3668" t="n">
        <v>0.1035</v>
      </c>
      <c r="S3668">
        <f>IMAGE("https://mitra.stanford.edu/kundaje/oak/projects/neuro-variants/variant_position/credible/roussos_2024/variant_figures/roussos_2024.adolescence.Astrocyte/rs56359038_count_position.png",4,220,900)</f>
        <v/>
      </c>
      <c r="T3668">
        <f>IMAGE("https://mitra.stanford.edu/kundaje/oak/projects/neuro-variants/variant_position/credible/roussos_2024/variant_figures/roussos_2024.adolescence.Astrocyte/rs56359038_profile_position.png",4,220,900)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-0.018751953</v>
      </c>
      <c r="G3669" t="n">
        <v>0.5683818354292884</v>
      </c>
      <c r="H3669" t="n">
        <v>0.0224117678484184</v>
      </c>
      <c r="I3669" t="n">
        <v>0.0927020900984218</v>
      </c>
      <c r="J3669" t="n">
        <v>0.0023929620508559</v>
      </c>
      <c r="K3669" t="n">
        <v>0.8024760703412862</v>
      </c>
      <c r="L3669" t="b">
        <v>0</v>
      </c>
      <c r="M3669" t="b">
        <v>0</v>
      </c>
      <c r="N3669" t="inlineStr">
        <is>
          <t>ref</t>
        </is>
      </c>
      <c r="O3669" t="n">
        <v>-15</v>
      </c>
      <c r="P3669" t="n">
        <v>0.01038</v>
      </c>
      <c r="Q3669" t="n">
        <v>-100</v>
      </c>
      <c r="R3669" t="n">
        <v>0.10956</v>
      </c>
      <c r="S3669">
        <f>IMAGE("https://mitra.stanford.edu/kundaje/oak/projects/neuro-variants/variant_position/credible/roussos_2024/variant_figures/roussos_2024.adolescence.Astrocyte/rs6966655_count_position.png",4,220,900)</f>
        <v/>
      </c>
      <c r="T3669">
        <f>IMAGE("https://mitra.stanford.edu/kundaje/oak/projects/neuro-variants/variant_position/credible/roussos_2024/variant_figures/roussos_2024.adolescence.Astrocyte/rs6966655_profile_position.png",4,220,900)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-0.00754812464</v>
      </c>
      <c r="G3670" t="n">
        <v>0.7666425802042542</v>
      </c>
      <c r="H3670" t="n">
        <v>0.0282058652594376</v>
      </c>
      <c r="I3670" t="n">
        <v>0.0398288381363322</v>
      </c>
      <c r="J3670" t="n">
        <v>0.0005066314571402001</v>
      </c>
      <c r="K3670" t="n">
        <v>0.9161761975499776</v>
      </c>
      <c r="L3670" t="b">
        <v>0</v>
      </c>
      <c r="M3670" t="b">
        <v>0</v>
      </c>
      <c r="N3670" t="inlineStr">
        <is>
          <t>ref</t>
        </is>
      </c>
      <c r="O3670" t="n">
        <v>-90</v>
      </c>
      <c r="P3670" t="n">
        <v>0.02739</v>
      </c>
      <c r="Q3670" t="n">
        <v>-20</v>
      </c>
      <c r="R3670" t="n">
        <v>0.03485</v>
      </c>
      <c r="S3670">
        <f>IMAGE("https://mitra.stanford.edu/kundaje/oak/projects/neuro-variants/variant_position/credible/roussos_2024/variant_figures/roussos_2024.adolescence.Astrocyte/rs2106747_count_position.png",4,220,900)</f>
        <v/>
      </c>
      <c r="T3670">
        <f>IMAGE("https://mitra.stanford.edu/kundaje/oak/projects/neuro-variants/variant_position/credible/roussos_2024/variant_figures/roussos_2024.adolescence.Astrocyte/rs2106747_profile_position.png",4,220,900)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-0.083960199</v>
      </c>
      <c r="G3671" t="n">
        <v>0.1105330027353007</v>
      </c>
      <c r="H3671" t="n">
        <v>0.0121558864296981</v>
      </c>
      <c r="I3671" t="n">
        <v>0.5356313467258241</v>
      </c>
      <c r="J3671" t="n">
        <v>0.0055314066997002</v>
      </c>
      <c r="K3671" t="n">
        <v>0.7415786028622884</v>
      </c>
      <c r="L3671" t="b">
        <v>0</v>
      </c>
      <c r="M3671" t="b">
        <v>0</v>
      </c>
      <c r="N3671" t="inlineStr">
        <is>
          <t>ref</t>
        </is>
      </c>
      <c r="O3671" t="n">
        <v>100</v>
      </c>
      <c r="P3671" t="n">
        <v>0.01114</v>
      </c>
      <c r="Q3671" t="n">
        <v>45</v>
      </c>
      <c r="R3671" t="n">
        <v>0.0885</v>
      </c>
      <c r="S3671">
        <f>IMAGE("https://mitra.stanford.edu/kundaje/oak/projects/neuro-variants/variant_position/credible/roussos_2024/variant_figures/roussos_2024.adolescence.Astrocyte/rs9769098_count_position.png",4,220,900)</f>
        <v/>
      </c>
      <c r="T3671">
        <f>IMAGE("https://mitra.stanford.edu/kundaje/oak/projects/neuro-variants/variant_position/credible/roussos_2024/variant_figures/roussos_2024.adolescence.Astrocyte/rs9769098_profile_position.png",4,220,900)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0.0213278527999999</v>
      </c>
      <c r="G3672" t="n">
        <v>0.5221811790255642</v>
      </c>
      <c r="H3672" t="n">
        <v>0.0185865732171596</v>
      </c>
      <c r="I3672" t="n">
        <v>0.172586317252273</v>
      </c>
      <c r="J3672" t="n">
        <v>0.0015013500281873</v>
      </c>
      <c r="K3672" t="n">
        <v>0.8410559192560517</v>
      </c>
      <c r="L3672" t="b">
        <v>0</v>
      </c>
      <c r="M3672" t="b">
        <v>0</v>
      </c>
      <c r="N3672" t="inlineStr">
        <is>
          <t>alt</t>
        </is>
      </c>
      <c r="O3672" t="n">
        <v>100</v>
      </c>
      <c r="P3672" t="n">
        <v>0.0064</v>
      </c>
      <c r="Q3672" t="n">
        <v>100</v>
      </c>
      <c r="R3672" t="n">
        <v>0.08325</v>
      </c>
      <c r="S3672">
        <f>IMAGE("https://mitra.stanford.edu/kundaje/oak/projects/neuro-variants/variant_position/credible/roussos_2024/variant_figures/roussos_2024.adolescence.Astrocyte/rs13244145_count_position.png",4,220,900)</f>
        <v/>
      </c>
      <c r="T3672">
        <f>IMAGE("https://mitra.stanford.edu/kundaje/oak/projects/neuro-variants/variant_position/credible/roussos_2024/variant_figures/roussos_2024.adolescence.Astrocyte/rs13244145_profile_position.png",4,220,900)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0.0201601657</v>
      </c>
      <c r="G3673" t="n">
        <v>0.38754579263199</v>
      </c>
      <c r="H3673" t="n">
        <v>0.0137825568074095</v>
      </c>
      <c r="I3673" t="n">
        <v>0.396299216452977</v>
      </c>
      <c r="J3673" t="n">
        <v>0.1384446488443165</v>
      </c>
      <c r="K3673" t="n">
        <v>0.265903383021532</v>
      </c>
      <c r="L3673" t="b">
        <v>0</v>
      </c>
      <c r="M3673" t="b">
        <v>0</v>
      </c>
      <c r="N3673" t="inlineStr">
        <is>
          <t>alt</t>
        </is>
      </c>
      <c r="O3673" t="n">
        <v>85</v>
      </c>
      <c r="P3673" t="n">
        <v>0.00933</v>
      </c>
      <c r="Q3673" t="n">
        <v>-100</v>
      </c>
      <c r="R3673" t="n">
        <v>0.2126</v>
      </c>
      <c r="S3673">
        <f>IMAGE("https://mitra.stanford.edu/kundaje/oak/projects/neuro-variants/variant_position/credible/roussos_2024/variant_figures/roussos_2024.adolescence.Astrocyte/rs146616002_count_position.png",4,220,900)</f>
        <v/>
      </c>
      <c r="T3673">
        <f>IMAGE("https://mitra.stanford.edu/kundaje/oak/projects/neuro-variants/variant_position/credible/roussos_2024/variant_figures/roussos_2024.adolescence.Astrocyte/rs146616002_profile_position.png",4,220,900)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-0.1097818762</v>
      </c>
      <c r="G3674" t="n">
        <v>0.0671295328798502</v>
      </c>
      <c r="H3674" t="n">
        <v>0.0218403627797774</v>
      </c>
      <c r="I3674" t="n">
        <v>0.1064197973717121</v>
      </c>
      <c r="J3674" t="n">
        <v>0.1792726166810076</v>
      </c>
      <c r="K3674" t="n">
        <v>0.2241249852964054</v>
      </c>
      <c r="L3674" t="b">
        <v>0</v>
      </c>
      <c r="M3674" t="b">
        <v>0</v>
      </c>
      <c r="N3674" t="inlineStr">
        <is>
          <t>ref</t>
        </is>
      </c>
      <c r="O3674" t="n">
        <v>100</v>
      </c>
      <c r="P3674" t="n">
        <v>0.02643</v>
      </c>
      <c r="Q3674" t="n">
        <v>50</v>
      </c>
      <c r="R3674" t="n">
        <v>0.0805</v>
      </c>
      <c r="S3674">
        <f>IMAGE("https://mitra.stanford.edu/kundaje/oak/projects/neuro-variants/variant_position/credible/roussos_2024/variant_figures/roussos_2024.adolescence.Astrocyte/rs17150022_count_position.png",4,220,900)</f>
        <v/>
      </c>
      <c r="T3674">
        <f>IMAGE("https://mitra.stanford.edu/kundaje/oak/projects/neuro-variants/variant_position/credible/roussos_2024/variant_figures/roussos_2024.adolescence.Astrocyte/rs17150022_profile_position.png",4,220,900)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-0.0488156742</v>
      </c>
      <c r="G3675" t="n">
        <v>0.2456644794200319</v>
      </c>
      <c r="H3675" t="n">
        <v>0.0142601354768165</v>
      </c>
      <c r="I3675" t="n">
        <v>0.3742253829227986</v>
      </c>
      <c r="J3675" t="n">
        <v>0.0066218140818324</v>
      </c>
      <c r="K3675" t="n">
        <v>0.7212307682127658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0.01367</v>
      </c>
      <c r="Q3675" t="n">
        <v>95</v>
      </c>
      <c r="R3675" t="n">
        <v>0.1226</v>
      </c>
      <c r="S3675">
        <f>IMAGE("https://mitra.stanford.edu/kundaje/oak/projects/neuro-variants/variant_position/credible/roussos_2024/variant_figures/roussos_2024.adolescence.Astrocyte/rs80195870_count_position.png",4,220,900)</f>
        <v/>
      </c>
      <c r="T3675">
        <f>IMAGE("https://mitra.stanford.edu/kundaje/oak/projects/neuro-variants/variant_position/credible/roussos_2024/variant_figures/roussos_2024.adolescence.Astrocyte/rs80195870_profile_position.png",4,220,900)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0.01600247528</v>
      </c>
      <c r="G3676" t="n">
        <v>0.6077790209168696</v>
      </c>
      <c r="H3676" t="n">
        <v>0.0349150714103704</v>
      </c>
      <c r="I3676" t="n">
        <v>0.016923211947366</v>
      </c>
      <c r="J3676" t="n">
        <v>0.0068710500548912</v>
      </c>
      <c r="K3676" t="n">
        <v>0.7230079546687533</v>
      </c>
      <c r="L3676" t="b">
        <v>0</v>
      </c>
      <c r="M3676" t="b">
        <v>0</v>
      </c>
      <c r="N3676" t="inlineStr">
        <is>
          <t>alt</t>
        </is>
      </c>
      <c r="O3676" t="n">
        <v>20</v>
      </c>
      <c r="P3676" t="n">
        <v>0.00058</v>
      </c>
      <c r="Q3676" t="n">
        <v>80</v>
      </c>
      <c r="R3676" t="n">
        <v>0.01006</v>
      </c>
      <c r="S3676">
        <f>IMAGE("https://mitra.stanford.edu/kundaje/oak/projects/neuro-variants/variant_position/credible/roussos_2024/variant_figures/roussos_2024.adolescence.Astrocyte/rs114829110_count_position.png",4,220,900)</f>
        <v/>
      </c>
      <c r="T3676">
        <f>IMAGE("https://mitra.stanford.edu/kundaje/oak/projects/neuro-variants/variant_position/credible/roussos_2024/variant_figures/roussos_2024.adolescence.Astrocyte/rs114829110_profile_position.png",4,220,900)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0.0618000582</v>
      </c>
      <c r="G3677" t="n">
        <v>0.1780733214495716</v>
      </c>
      <c r="H3677" t="n">
        <v>0.0123089234951361</v>
      </c>
      <c r="I3677" t="n">
        <v>0.5171923346217931</v>
      </c>
      <c r="J3677" t="n">
        <v>0.211517520695487</v>
      </c>
      <c r="K3677" t="n">
        <v>0.1945017997134525</v>
      </c>
      <c r="L3677" t="b">
        <v>0</v>
      </c>
      <c r="M3677" t="b">
        <v>0</v>
      </c>
      <c r="N3677" t="inlineStr">
        <is>
          <t>alt</t>
        </is>
      </c>
      <c r="O3677" t="n">
        <v>25</v>
      </c>
      <c r="P3677" t="n">
        <v>0.00177</v>
      </c>
      <c r="Q3677" t="n">
        <v>-70</v>
      </c>
      <c r="R3677" t="n">
        <v>0.11194</v>
      </c>
      <c r="S3677">
        <f>IMAGE("https://mitra.stanford.edu/kundaje/oak/projects/neuro-variants/variant_position/credible/roussos_2024/variant_figures/roussos_2024.adolescence.Astrocyte/rs11509873_count_position.png",4,220,900)</f>
        <v/>
      </c>
      <c r="T3677">
        <f>IMAGE("https://mitra.stanford.edu/kundaje/oak/projects/neuro-variants/variant_position/credible/roussos_2024/variant_figures/roussos_2024.adolescence.Astrocyte/rs11509873_profile_position.png",4,220,900)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-0.01574883174</v>
      </c>
      <c r="G3678" t="n">
        <v>0.6025279332282248</v>
      </c>
      <c r="H3678" t="n">
        <v>0.0088700538961914</v>
      </c>
      <c r="I3678" t="n">
        <v>0.858085237822775</v>
      </c>
      <c r="J3678" t="n">
        <v>0.5050737323086966</v>
      </c>
      <c r="K3678" t="n">
        <v>0.0546363369431555</v>
      </c>
      <c r="L3678" t="b">
        <v>0</v>
      </c>
      <c r="M3678" t="b">
        <v>0</v>
      </c>
      <c r="N3678" t="inlineStr">
        <is>
          <t>ref</t>
        </is>
      </c>
      <c r="O3678" t="n">
        <v>-55</v>
      </c>
      <c r="P3678" t="n">
        <v>0.186</v>
      </c>
      <c r="Q3678" t="n">
        <v>-90</v>
      </c>
      <c r="R3678" t="n">
        <v>0.714</v>
      </c>
      <c r="S3678">
        <f>IMAGE("https://mitra.stanford.edu/kundaje/oak/projects/neuro-variants/variant_position/credible/roussos_2024/variant_figures/roussos_2024.adolescence.Astrocyte/rs2391000_count_position.png",4,220,900)</f>
        <v/>
      </c>
      <c r="T3678">
        <f>IMAGE("https://mitra.stanford.edu/kundaje/oak/projects/neuro-variants/variant_position/credible/roussos_2024/variant_figures/roussos_2024.adolescence.Astrocyte/rs2391000_profile_position.png",4,220,900)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-0.0689307244</v>
      </c>
      <c r="G3679" t="n">
        <v>0.1557038177503253</v>
      </c>
      <c r="H3679" t="n">
        <v>0.0116205870050376</v>
      </c>
      <c r="I3679" t="n">
        <v>0.5926511851616602</v>
      </c>
      <c r="J3679" t="n">
        <v>0.0333738836305372</v>
      </c>
      <c r="K3679" t="n">
        <v>0.5151366055366993</v>
      </c>
      <c r="L3679" t="b">
        <v>0</v>
      </c>
      <c r="M3679" t="b">
        <v>0</v>
      </c>
      <c r="N3679" t="inlineStr">
        <is>
          <t>ref</t>
        </is>
      </c>
      <c r="O3679" t="n">
        <v>65</v>
      </c>
      <c r="P3679" t="n">
        <v>0.004898</v>
      </c>
      <c r="Q3679" t="n">
        <v>-100</v>
      </c>
      <c r="R3679" t="n">
        <v>0.0891</v>
      </c>
      <c r="S3679">
        <f>IMAGE("https://mitra.stanford.edu/kundaje/oak/projects/neuro-variants/variant_position/credible/roussos_2024/variant_figures/roussos_2024.adolescence.Astrocyte/rs113041465_count_position.png",4,220,900)</f>
        <v/>
      </c>
      <c r="T3679">
        <f>IMAGE("https://mitra.stanford.edu/kundaje/oak/projects/neuro-variants/variant_position/credible/roussos_2024/variant_figures/roussos_2024.adolescence.Astrocyte/rs113041465_profile_position.png",4,220,900)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-0.1053327154</v>
      </c>
      <c r="G3680" t="n">
        <v>0.07458551193675329</v>
      </c>
      <c r="H3680" t="n">
        <v>0.0192040711020295</v>
      </c>
      <c r="I3680" t="n">
        <v>0.1549612933552207</v>
      </c>
      <c r="J3680" t="n">
        <v>0.0009094145921727</v>
      </c>
      <c r="K3680" t="n">
        <v>0.887142348593838</v>
      </c>
      <c r="L3680" t="b">
        <v>0</v>
      </c>
      <c r="M3680" t="b">
        <v>0</v>
      </c>
      <c r="N3680" t="inlineStr">
        <is>
          <t>ref</t>
        </is>
      </c>
      <c r="O3680" t="n">
        <v>80</v>
      </c>
      <c r="P3680" t="n">
        <v>0.007557</v>
      </c>
      <c r="Q3680" t="n">
        <v>85</v>
      </c>
      <c r="R3680" t="n">
        <v>0.09093999999999999</v>
      </c>
      <c r="S3680">
        <f>IMAGE("https://mitra.stanford.edu/kundaje/oak/projects/neuro-variants/variant_position/credible/roussos_2024/variant_figures/roussos_2024.adolescence.Astrocyte/rs150936052_count_position.png",4,220,900)</f>
        <v/>
      </c>
      <c r="T3680">
        <f>IMAGE("https://mitra.stanford.edu/kundaje/oak/projects/neuro-variants/variant_position/credible/roussos_2024/variant_figures/roussos_2024.adolescence.Astrocyte/rs150936052_profile_position.png",4,220,900)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-0.0684888272</v>
      </c>
      <c r="G3681" t="n">
        <v>0.1489488392028776</v>
      </c>
      <c r="H3681" t="n">
        <v>0.0104930390465679</v>
      </c>
      <c r="I3681" t="n">
        <v>0.7077431389887417</v>
      </c>
      <c r="J3681" t="n">
        <v>0.0289121146485475</v>
      </c>
      <c r="K3681" t="n">
        <v>0.5196123562935787</v>
      </c>
      <c r="L3681" t="b">
        <v>0</v>
      </c>
      <c r="M3681" t="b">
        <v>0</v>
      </c>
      <c r="N3681" t="inlineStr">
        <is>
          <t>ref</t>
        </is>
      </c>
      <c r="O3681" t="n">
        <v>70</v>
      </c>
      <c r="P3681" t="n">
        <v>0.00974</v>
      </c>
      <c r="Q3681" t="n">
        <v>15</v>
      </c>
      <c r="R3681" t="n">
        <v>0.01617</v>
      </c>
      <c r="S3681">
        <f>IMAGE("https://mitra.stanford.edu/kundaje/oak/projects/neuro-variants/variant_position/credible/roussos_2024/variant_figures/roussos_2024.adolescence.Astrocyte/rs115354522_count_position.png",4,220,900)</f>
        <v/>
      </c>
      <c r="T3681">
        <f>IMAGE("https://mitra.stanford.edu/kundaje/oak/projects/neuro-variants/variant_position/credible/roussos_2024/variant_figures/roussos_2024.adolescence.Astrocyte/rs115354522_profile_position.png",4,220,900)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0.0285701102</v>
      </c>
      <c r="G3682" t="n">
        <v>0.422334450163208</v>
      </c>
      <c r="H3682" t="n">
        <v>0.0147354956781658</v>
      </c>
      <c r="I3682" t="n">
        <v>0.3421858292604792</v>
      </c>
      <c r="J3682" t="n">
        <v>0.0014182713705011</v>
      </c>
      <c r="K3682" t="n">
        <v>0.8694388517374413</v>
      </c>
      <c r="L3682" t="b">
        <v>0</v>
      </c>
      <c r="M3682" t="b">
        <v>0</v>
      </c>
      <c r="N3682" t="inlineStr">
        <is>
          <t>alt</t>
        </is>
      </c>
      <c r="O3682" t="n">
        <v>70</v>
      </c>
      <c r="P3682" t="n">
        <v>0.01599</v>
      </c>
      <c r="Q3682" t="n">
        <v>15</v>
      </c>
      <c r="R3682" t="n">
        <v>0.026</v>
      </c>
      <c r="S3682">
        <f>IMAGE("https://mitra.stanford.edu/kundaje/oak/projects/neuro-variants/variant_position/credible/roussos_2024/variant_figures/roussos_2024.adolescence.Astrocyte/rs79631004_count_position.png",4,220,900)</f>
        <v/>
      </c>
      <c r="T3682">
        <f>IMAGE("https://mitra.stanford.edu/kundaje/oak/projects/neuro-variants/variant_position/credible/roussos_2024/variant_figures/roussos_2024.adolescence.Astrocyte/rs79631004_profile_position.png",4,220,900)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0.00749945754</v>
      </c>
      <c r="G3683" t="n">
        <v>0.7853613147136669</v>
      </c>
      <c r="H3683" t="n">
        <v>0.0270146584780903</v>
      </c>
      <c r="I3683" t="n">
        <v>0.0478084087236757</v>
      </c>
      <c r="J3683" t="n">
        <v>0.0026770613891938</v>
      </c>
      <c r="K3683" t="n">
        <v>0.7971505839376134</v>
      </c>
      <c r="L3683" t="b">
        <v>0</v>
      </c>
      <c r="M3683" t="b">
        <v>0</v>
      </c>
      <c r="N3683" t="inlineStr">
        <is>
          <t>alt</t>
        </is>
      </c>
      <c r="O3683" t="n">
        <v>-20</v>
      </c>
      <c r="P3683" t="n">
        <v>0.00925</v>
      </c>
      <c r="Q3683" t="n">
        <v>-80</v>
      </c>
      <c r="R3683" t="n">
        <v>0.1093</v>
      </c>
      <c r="S3683">
        <f>IMAGE("https://mitra.stanford.edu/kundaje/oak/projects/neuro-variants/variant_position/credible/roussos_2024/variant_figures/roussos_2024.adolescence.Astrocyte/rs6976562_count_position.png",4,220,900)</f>
        <v/>
      </c>
      <c r="T3683">
        <f>IMAGE("https://mitra.stanford.edu/kundaje/oak/projects/neuro-variants/variant_position/credible/roussos_2024/variant_figures/roussos_2024.adolescence.Astrocyte/rs6976562_profile_position.png",4,220,900)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0.0377142672</v>
      </c>
      <c r="G3684" t="n">
        <v>0.333688384751894</v>
      </c>
      <c r="H3684" t="n">
        <v>0.0347008237718034</v>
      </c>
      <c r="I3684" t="n">
        <v>0.0173186121654769</v>
      </c>
      <c r="J3684" t="n">
        <v>0.0043749814556567</v>
      </c>
      <c r="K3684" t="n">
        <v>0.7516864551305786</v>
      </c>
      <c r="L3684" t="b">
        <v>0</v>
      </c>
      <c r="M3684" t="b">
        <v>0</v>
      </c>
      <c r="N3684" t="inlineStr">
        <is>
          <t>alt</t>
        </is>
      </c>
      <c r="O3684" t="n">
        <v>-100</v>
      </c>
      <c r="P3684" t="n">
        <v>0.021</v>
      </c>
      <c r="Q3684" t="n">
        <v>80</v>
      </c>
      <c r="R3684" t="n">
        <v>0.10565</v>
      </c>
      <c r="S3684">
        <f>IMAGE("https://mitra.stanford.edu/kundaje/oak/projects/neuro-variants/variant_position/credible/roussos_2024/variant_figures/roussos_2024.adolescence.Astrocyte/rs6942815_count_position.png",4,220,900)</f>
        <v/>
      </c>
      <c r="T3684">
        <f>IMAGE("https://mitra.stanford.edu/kundaje/oak/projects/neuro-variants/variant_position/credible/roussos_2024/variant_figures/roussos_2024.adolescence.Astrocyte/rs6942815_profile_position.png",4,220,900)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0.03075967452</v>
      </c>
      <c r="G3685" t="n">
        <v>0.3911601804209062</v>
      </c>
      <c r="H3685" t="n">
        <v>0.0123766887722315</v>
      </c>
      <c r="I3685" t="n">
        <v>0.5133704007905301</v>
      </c>
      <c r="J3685" t="n">
        <v>0.0304943180132332</v>
      </c>
      <c r="K3685" t="n">
        <v>0.5249688389361843</v>
      </c>
      <c r="L3685" t="b">
        <v>0</v>
      </c>
      <c r="M3685" t="b">
        <v>0</v>
      </c>
      <c r="N3685" t="inlineStr">
        <is>
          <t>alt</t>
        </is>
      </c>
      <c r="O3685" t="n">
        <v>-95</v>
      </c>
      <c r="P3685" t="n">
        <v>0.00733</v>
      </c>
      <c r="Q3685" t="n">
        <v>90</v>
      </c>
      <c r="R3685" t="n">
        <v>0.0722</v>
      </c>
      <c r="S3685">
        <f>IMAGE("https://mitra.stanford.edu/kundaje/oak/projects/neuro-variants/variant_position/credible/roussos_2024/variant_figures/roussos_2024.adolescence.Astrocyte/rs10261998_count_position.png",4,220,900)</f>
        <v/>
      </c>
      <c r="T3685">
        <f>IMAGE("https://mitra.stanford.edu/kundaje/oak/projects/neuro-variants/variant_position/credible/roussos_2024/variant_figures/roussos_2024.adolescence.Astrocyte/rs10261998_profile_position.png",4,220,900)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0.0062563239</v>
      </c>
      <c r="G3686" t="n">
        <v>0.721286199191888</v>
      </c>
      <c r="H3686" t="n">
        <v>0.059603372848879</v>
      </c>
      <c r="I3686" t="n">
        <v>0.0019987733993725</v>
      </c>
      <c r="J3686" t="n">
        <v>0.0086401803993709</v>
      </c>
      <c r="K3686" t="n">
        <v>0.6823789482447319</v>
      </c>
      <c r="L3686" t="b">
        <v>0</v>
      </c>
      <c r="M3686" t="b">
        <v>0</v>
      </c>
      <c r="N3686" t="inlineStr">
        <is>
          <t>alt</t>
        </is>
      </c>
      <c r="O3686" t="n">
        <v>-90</v>
      </c>
      <c r="P3686" t="n">
        <v>0.02795</v>
      </c>
      <c r="Q3686" t="n">
        <v>-100</v>
      </c>
      <c r="R3686" t="n">
        <v>0.1089</v>
      </c>
      <c r="S3686">
        <f>IMAGE("https://mitra.stanford.edu/kundaje/oak/projects/neuro-variants/variant_position/credible/roussos_2024/variant_figures/roussos_2024.adolescence.Astrocyte/rs28799658_count_position.png",4,220,900)</f>
        <v/>
      </c>
      <c r="T3686">
        <f>IMAGE("https://mitra.stanford.edu/kundaje/oak/projects/neuro-variants/variant_position/credible/roussos_2024/variant_figures/roussos_2024.adolescence.Astrocyte/rs28799658_profile_position.png",4,220,900)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0.047784267</v>
      </c>
      <c r="G3687" t="n">
        <v>0.243429309816564</v>
      </c>
      <c r="H3687" t="n">
        <v>0.0168408174518352</v>
      </c>
      <c r="I3687" t="n">
        <v>0.2338840896245998</v>
      </c>
      <c r="J3687" t="n">
        <v>0.2583197341482953</v>
      </c>
      <c r="K3687" t="n">
        <v>0.1592196746243072</v>
      </c>
      <c r="L3687" t="b">
        <v>0</v>
      </c>
      <c r="M3687" t="b">
        <v>0</v>
      </c>
      <c r="N3687" t="inlineStr">
        <is>
          <t>alt</t>
        </is>
      </c>
      <c r="O3687" t="n">
        <v>100</v>
      </c>
      <c r="P3687" t="n">
        <v>0.02763</v>
      </c>
      <c r="Q3687" t="n">
        <v>100</v>
      </c>
      <c r="R3687" t="n">
        <v>0.3022</v>
      </c>
      <c r="S3687">
        <f>IMAGE("https://mitra.stanford.edu/kundaje/oak/projects/neuro-variants/variant_position/credible/roussos_2024/variant_figures/roussos_2024.adolescence.Astrocyte/rs3923570_count_position.png",4,220,900)</f>
        <v/>
      </c>
      <c r="T3687">
        <f>IMAGE("https://mitra.stanford.edu/kundaje/oak/projects/neuro-variants/variant_position/credible/roussos_2024/variant_figures/roussos_2024.adolescence.Astrocyte/rs3923570_profile_position.png",4,220,900)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-0.0064457642999999</v>
      </c>
      <c r="G3688" t="n">
        <v>0.6556619619200982</v>
      </c>
      <c r="H3688" t="n">
        <v>0.011575068472215</v>
      </c>
      <c r="I3688" t="n">
        <v>0.566955511513778</v>
      </c>
      <c r="J3688" t="n">
        <v>0.1288245853484852</v>
      </c>
      <c r="K3688" t="n">
        <v>0.2779422390057984</v>
      </c>
      <c r="L3688" t="b">
        <v>0</v>
      </c>
      <c r="M3688" t="b">
        <v>0</v>
      </c>
      <c r="N3688" t="inlineStr">
        <is>
          <t>ref</t>
        </is>
      </c>
      <c r="O3688" t="n">
        <v>95</v>
      </c>
      <c r="P3688" t="n">
        <v>0.006447</v>
      </c>
      <c r="Q3688" t="n">
        <v>100</v>
      </c>
      <c r="R3688" t="n">
        <v>0.07434</v>
      </c>
      <c r="S3688">
        <f>IMAGE("https://mitra.stanford.edu/kundaje/oak/projects/neuro-variants/variant_position/credible/roussos_2024/variant_figures/roussos_2024.adolescence.Astrocyte/rs6964131_count_position.png",4,220,900)</f>
        <v/>
      </c>
      <c r="T3688">
        <f>IMAGE("https://mitra.stanford.edu/kundaje/oak/projects/neuro-variants/variant_position/credible/roussos_2024/variant_figures/roussos_2024.adolescence.Astrocyte/rs6964131_profile_position.png",4,220,900)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-0.078874228</v>
      </c>
      <c r="G3689" t="n">
        <v>0.1239534993055714</v>
      </c>
      <c r="H3689" t="n">
        <v>0.0141293969479467</v>
      </c>
      <c r="I3689" t="n">
        <v>0.3786138827598964</v>
      </c>
      <c r="J3689" t="n">
        <v>0.0867163160549505</v>
      </c>
      <c r="K3689" t="n">
        <v>0.3570797747202349</v>
      </c>
      <c r="L3689" t="b">
        <v>0</v>
      </c>
      <c r="M3689" t="b">
        <v>0</v>
      </c>
      <c r="N3689" t="inlineStr">
        <is>
          <t>ref</t>
        </is>
      </c>
      <c r="O3689" t="n">
        <v>100</v>
      </c>
      <c r="P3689" t="n">
        <v>0.01485</v>
      </c>
      <c r="Q3689" t="n">
        <v>50</v>
      </c>
      <c r="R3689" t="n">
        <v>0.06322999999999999</v>
      </c>
      <c r="S3689">
        <f>IMAGE("https://mitra.stanford.edu/kundaje/oak/projects/neuro-variants/variant_position/credible/roussos_2024/variant_figures/roussos_2024.adolescence.Astrocyte/rs73356099_count_position.png",4,220,900)</f>
        <v/>
      </c>
      <c r="T3689">
        <f>IMAGE("https://mitra.stanford.edu/kundaje/oak/projects/neuro-variants/variant_position/credible/roussos_2024/variant_figures/roussos_2024.adolescence.Astrocyte/rs73356099_profile_position.png",4,220,900)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-0.0244286547999999</v>
      </c>
      <c r="G3690" t="n">
        <v>0.4777126118750543</v>
      </c>
      <c r="H3690" t="n">
        <v>0.0166693574495024</v>
      </c>
      <c r="I3690" t="n">
        <v>0.2409361670050192</v>
      </c>
      <c r="J3690" t="n">
        <v>0.0005214669317271</v>
      </c>
      <c r="K3690" t="n">
        <v>0.9093116878619376</v>
      </c>
      <c r="L3690" t="b">
        <v>0</v>
      </c>
      <c r="M3690" t="b">
        <v>0</v>
      </c>
      <c r="N3690" t="inlineStr">
        <is>
          <t>ref</t>
        </is>
      </c>
      <c r="O3690" t="n">
        <v>-15</v>
      </c>
      <c r="P3690" t="n">
        <v>8.774e-05</v>
      </c>
      <c r="Q3690" t="n">
        <v>-95</v>
      </c>
      <c r="R3690" t="n">
        <v>0.02771</v>
      </c>
      <c r="S3690">
        <f>IMAGE("https://mitra.stanford.edu/kundaje/oak/projects/neuro-variants/variant_position/credible/roussos_2024/variant_figures/roussos_2024.adolescence.Astrocyte/rs12534549_count_position.png",4,220,900)</f>
        <v/>
      </c>
      <c r="T3690">
        <f>IMAGE("https://mitra.stanford.edu/kundaje/oak/projects/neuro-variants/variant_position/credible/roussos_2024/variant_figures/roussos_2024.adolescence.Astrocyte/rs12534549_profile_position.png",4,220,900)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0.0308069634</v>
      </c>
      <c r="G3691" t="n">
        <v>0.3955636123915312</v>
      </c>
      <c r="H3691" t="n">
        <v>0.009329425254862101</v>
      </c>
      <c r="I3691" t="n">
        <v>0.8234899718643548</v>
      </c>
      <c r="J3691" t="n">
        <v>0.0018714951191288</v>
      </c>
      <c r="K3691" t="n">
        <v>0.829954273241811</v>
      </c>
      <c r="L3691" t="b">
        <v>0</v>
      </c>
      <c r="M3691" t="b">
        <v>0</v>
      </c>
      <c r="N3691" t="inlineStr">
        <is>
          <t>alt</t>
        </is>
      </c>
      <c r="O3691" t="n">
        <v>5</v>
      </c>
      <c r="P3691" t="n">
        <v>0.000572</v>
      </c>
      <c r="Q3691" t="n">
        <v>-50</v>
      </c>
      <c r="R3691" t="n">
        <v>0.06104</v>
      </c>
      <c r="S3691">
        <f>IMAGE("https://mitra.stanford.edu/kundaje/oak/projects/neuro-variants/variant_position/credible/roussos_2024/variant_figures/roussos_2024.adolescence.Astrocyte/rs73179792_count_position.png",4,220,900)</f>
        <v/>
      </c>
      <c r="T3691">
        <f>IMAGE("https://mitra.stanford.edu/kundaje/oak/projects/neuro-variants/variant_position/credible/roussos_2024/variant_figures/roussos_2024.adolescence.Astrocyte/rs73179792_profile_position.png",4,220,900)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-0.0934891764</v>
      </c>
      <c r="G3692" t="n">
        <v>0.1069901222109146</v>
      </c>
      <c r="H3692" t="n">
        <v>0.0157455861994674</v>
      </c>
      <c r="I3692" t="n">
        <v>0.2845168577681072</v>
      </c>
      <c r="J3692" t="n">
        <v>0.0669777171171705</v>
      </c>
      <c r="K3692" t="n">
        <v>0.4220758622608748</v>
      </c>
      <c r="L3692" t="b">
        <v>0</v>
      </c>
      <c r="M3692" t="b">
        <v>0</v>
      </c>
      <c r="N3692" t="inlineStr">
        <is>
          <t>ref</t>
        </is>
      </c>
      <c r="O3692" t="n">
        <v>60</v>
      </c>
      <c r="P3692" t="n">
        <v>0.04117</v>
      </c>
      <c r="Q3692" t="n">
        <v>-10</v>
      </c>
      <c r="R3692" t="n">
        <v>0.10376</v>
      </c>
      <c r="S3692">
        <f>IMAGE("https://mitra.stanford.edu/kundaje/oak/projects/neuro-variants/variant_position/credible/roussos_2024/variant_figures/roussos_2024.adolescence.Astrocyte/rs28678480_count_position.png",4,220,900)</f>
        <v/>
      </c>
      <c r="T3692">
        <f>IMAGE("https://mitra.stanford.edu/kundaje/oak/projects/neuro-variants/variant_position/credible/roussos_2024/variant_figures/roussos_2024.adolescence.Astrocyte/rs28678480_profile_position.png",4,220,900)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-0.1331823629</v>
      </c>
      <c r="G3693" t="n">
        <v>0.0542155462217998</v>
      </c>
      <c r="H3693" t="n">
        <v>0.0198945863595814</v>
      </c>
      <c r="I3693" t="n">
        <v>0.1428382183129644</v>
      </c>
      <c r="J3693" t="n">
        <v>0.0044046524048303</v>
      </c>
      <c r="K3693" t="n">
        <v>0.7494810996723237</v>
      </c>
      <c r="L3693" t="b">
        <v>0</v>
      </c>
      <c r="M3693" t="b">
        <v>0</v>
      </c>
      <c r="N3693" t="inlineStr">
        <is>
          <t>ref</t>
        </is>
      </c>
      <c r="O3693" t="n">
        <v>-70</v>
      </c>
      <c r="P3693" t="n">
        <v>0.0187</v>
      </c>
      <c r="Q3693" t="n">
        <v>-25</v>
      </c>
      <c r="R3693" t="n">
        <v>0.04364</v>
      </c>
      <c r="S3693">
        <f>IMAGE("https://mitra.stanford.edu/kundaje/oak/projects/neuro-variants/variant_position/credible/roussos_2024/variant_figures/roussos_2024.adolescence.Astrocyte/rs12668780_count_position.png",4,220,900)</f>
        <v/>
      </c>
      <c r="T3693">
        <f>IMAGE("https://mitra.stanford.edu/kundaje/oak/projects/neuro-variants/variant_position/credible/roussos_2024/variant_figures/roussos_2024.adolescence.Astrocyte/rs12668780_profile_position.png",4,220,900)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-0.0444195518</v>
      </c>
      <c r="G3694" t="n">
        <v>0.3005019869325481</v>
      </c>
      <c r="H3694" t="n">
        <v>0.0131418763245517</v>
      </c>
      <c r="I3694" t="n">
        <v>0.4480358959612173</v>
      </c>
      <c r="J3694" t="n">
        <v>0.5180251016230009</v>
      </c>
      <c r="K3694" t="n">
        <v>0.0510587577005061</v>
      </c>
      <c r="L3694" t="b">
        <v>0</v>
      </c>
      <c r="M3694" t="b">
        <v>0</v>
      </c>
      <c r="N3694" t="inlineStr">
        <is>
          <t>ref</t>
        </is>
      </c>
      <c r="O3694" t="n">
        <v>-35</v>
      </c>
      <c r="P3694" t="n">
        <v>0.00412</v>
      </c>
      <c r="Q3694" t="n">
        <v>-35</v>
      </c>
      <c r="R3694" t="n">
        <v>0.0796</v>
      </c>
      <c r="S3694">
        <f>IMAGE("https://mitra.stanford.edu/kundaje/oak/projects/neuro-variants/variant_position/credible/roussos_2024/variant_figures/roussos_2024.adolescence.Astrocyte/rs7385083_count_position.png",4,220,900)</f>
        <v/>
      </c>
      <c r="T3694">
        <f>IMAGE("https://mitra.stanford.edu/kundaje/oak/projects/neuro-variants/variant_position/credible/roussos_2024/variant_figures/roussos_2024.adolescence.Astrocyte/rs7385083_profile_position.png",4,220,900)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0.0438751769999999</v>
      </c>
      <c r="G3695" t="n">
        <v>0.2630882668109328</v>
      </c>
      <c r="H3695" t="n">
        <v>0.0136909174743631</v>
      </c>
      <c r="I3695" t="n">
        <v>0.4153329783873045</v>
      </c>
      <c r="J3695" t="n">
        <v>0.2692260332908049</v>
      </c>
      <c r="K3695" t="n">
        <v>0.1535021432991004</v>
      </c>
      <c r="L3695" t="b">
        <v>0</v>
      </c>
      <c r="M3695" t="b">
        <v>0</v>
      </c>
      <c r="N3695" t="inlineStr">
        <is>
          <t>alt</t>
        </is>
      </c>
      <c r="O3695" t="n">
        <v>-100</v>
      </c>
      <c r="P3695" t="n">
        <v>0.004173</v>
      </c>
      <c r="Q3695" t="n">
        <v>65</v>
      </c>
      <c r="R3695" t="n">
        <v>0.04797</v>
      </c>
      <c r="S3695">
        <f>IMAGE("https://mitra.stanford.edu/kundaje/oak/projects/neuro-variants/variant_position/credible/roussos_2024/variant_figures/roussos_2024.adolescence.Astrocyte/rs73181662_count_position.png",4,220,900)</f>
        <v/>
      </c>
      <c r="T3695">
        <f>IMAGE("https://mitra.stanford.edu/kundaje/oak/projects/neuro-variants/variant_position/credible/roussos_2024/variant_figures/roussos_2024.adolescence.Astrocyte/rs73181662_profile_position.png",4,220,900)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0.1035700639999999</v>
      </c>
      <c r="G3696" t="n">
        <v>0.08108167456976741</v>
      </c>
      <c r="H3696" t="n">
        <v>0.0208641947851504</v>
      </c>
      <c r="I3696" t="n">
        <v>0.1191554069094915</v>
      </c>
      <c r="J3696" t="n">
        <v>0.2564504643503545</v>
      </c>
      <c r="K3696" t="n">
        <v>0.160543921931712</v>
      </c>
      <c r="L3696" t="b">
        <v>0</v>
      </c>
      <c r="M3696" t="b">
        <v>0</v>
      </c>
      <c r="N3696" t="inlineStr">
        <is>
          <t>alt</t>
        </is>
      </c>
      <c r="O3696" t="n">
        <v>75</v>
      </c>
      <c r="P3696" t="n">
        <v>0.007423</v>
      </c>
      <c r="Q3696" t="n">
        <v>-30</v>
      </c>
      <c r="R3696" t="n">
        <v>0.04053</v>
      </c>
      <c r="S3696">
        <f>IMAGE("https://mitra.stanford.edu/kundaje/oak/projects/neuro-variants/variant_position/credible/roussos_2024/variant_figures/roussos_2024.adolescence.Astrocyte/rs9654908_count_position.png",4,220,900)</f>
        <v/>
      </c>
      <c r="T3696">
        <f>IMAGE("https://mitra.stanford.edu/kundaje/oak/projects/neuro-variants/variant_position/credible/roussos_2024/variant_figures/roussos_2024.adolescence.Astrocyte/rs9654908_profile_position.png",4,220,900)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-0.050868098</v>
      </c>
      <c r="G3697" t="n">
        <v>0.2263541350744234</v>
      </c>
      <c r="H3697" t="n">
        <v>0.0150468596189297</v>
      </c>
      <c r="I3697" t="n">
        <v>0.3264570808421433</v>
      </c>
      <c r="J3697" t="n">
        <v>0.2196043378927691</v>
      </c>
      <c r="K3697" t="n">
        <v>0.1872353838219858</v>
      </c>
      <c r="L3697" t="b">
        <v>0</v>
      </c>
      <c r="M3697" t="b">
        <v>0</v>
      </c>
      <c r="N3697" t="inlineStr">
        <is>
          <t>ref</t>
        </is>
      </c>
      <c r="O3697" t="n">
        <v>50</v>
      </c>
      <c r="P3697" t="n">
        <v>0.011475</v>
      </c>
      <c r="Q3697" t="n">
        <v>-55</v>
      </c>
      <c r="R3697" t="n">
        <v>0.11523</v>
      </c>
      <c r="S3697">
        <f>IMAGE("https://mitra.stanford.edu/kundaje/oak/projects/neuro-variants/variant_position/credible/roussos_2024/variant_figures/roussos_2024.adolescence.Astrocyte/rs2527310_count_position.png",4,220,900)</f>
        <v/>
      </c>
      <c r="T3697">
        <f>IMAGE("https://mitra.stanford.edu/kundaje/oak/projects/neuro-variants/variant_position/credible/roussos_2024/variant_figures/roussos_2024.adolescence.Astrocyte/rs2527310_profile_position.png",4,220,900)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0.1840836252</v>
      </c>
      <c r="G3698" t="n">
        <v>0.024266188985932</v>
      </c>
      <c r="H3698" t="n">
        <v>0.0258777563956552</v>
      </c>
      <c r="I3698" t="n">
        <v>0.057050239670805</v>
      </c>
      <c r="J3698" t="n">
        <v>0.0128949945108743</v>
      </c>
      <c r="K3698" t="n">
        <v>0.6658298115279908</v>
      </c>
      <c r="L3698" t="b">
        <v>0</v>
      </c>
      <c r="M3698" t="b">
        <v>0</v>
      </c>
      <c r="N3698" t="inlineStr">
        <is>
          <t>alt</t>
        </is>
      </c>
      <c r="O3698" t="n">
        <v>-15</v>
      </c>
      <c r="P3698" t="n">
        <v>0.003845</v>
      </c>
      <c r="Q3698" t="n">
        <v>95</v>
      </c>
      <c r="R3698" t="n">
        <v>0.1553</v>
      </c>
      <c r="S3698">
        <f>IMAGE("https://mitra.stanford.edu/kundaje/oak/projects/neuro-variants/variant_position/credible/roussos_2024/variant_figures/roussos_2024.adolescence.Astrocyte/rs2141885_count_position.png",4,220,900)</f>
        <v/>
      </c>
      <c r="T3698">
        <f>IMAGE("https://mitra.stanford.edu/kundaje/oak/projects/neuro-variants/variant_position/credible/roussos_2024/variant_figures/roussos_2024.adolescence.Astrocyte/rs2141885_profile_position.png",4,220,900)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-0.0309919722</v>
      </c>
      <c r="G3699" t="n">
        <v>0.4011192303546703</v>
      </c>
      <c r="H3699" t="n">
        <v>0.0435713313938545</v>
      </c>
      <c r="I3699" t="n">
        <v>0.0067116561609666</v>
      </c>
      <c r="J3699" t="n">
        <v>0.3542733584547369</v>
      </c>
      <c r="K3699" t="n">
        <v>0.1068650689189038</v>
      </c>
      <c r="L3699" t="b">
        <v>1</v>
      </c>
      <c r="M3699" t="b">
        <v>1</v>
      </c>
      <c r="N3699" t="inlineStr">
        <is>
          <t>ref</t>
        </is>
      </c>
      <c r="O3699" t="n">
        <v>95</v>
      </c>
      <c r="P3699" t="n">
        <v>0.00493</v>
      </c>
      <c r="Q3699" t="n">
        <v>-90</v>
      </c>
      <c r="R3699" t="n">
        <v>0.1483</v>
      </c>
      <c r="S3699">
        <f>IMAGE("https://mitra.stanford.edu/kundaje/oak/projects/neuro-variants/variant_position/credible/roussos_2024/variant_figures/roussos_2024.adolescence.Astrocyte/rs7791195_count_position.png",4,220,900)</f>
        <v/>
      </c>
      <c r="T3699">
        <f>IMAGE("https://mitra.stanford.edu/kundaje/oak/projects/neuro-variants/variant_position/credible/roussos_2024/variant_figures/roussos_2024.adolescence.Astrocyte/rs7791195_profile_position.png",4,220,900)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0.0019907498539999</v>
      </c>
      <c r="G3700" t="n">
        <v>0.849336936513046</v>
      </c>
      <c r="H3700" t="n">
        <v>0.0461155168314462</v>
      </c>
      <c r="I3700" t="n">
        <v>0.0054354051736109</v>
      </c>
      <c r="J3700" t="n">
        <v>0.002430050737323</v>
      </c>
      <c r="K3700" t="n">
        <v>0.8032896334766685</v>
      </c>
      <c r="L3700" t="b">
        <v>0</v>
      </c>
      <c r="M3700" t="b">
        <v>0</v>
      </c>
      <c r="N3700" t="inlineStr">
        <is>
          <t>alt</t>
        </is>
      </c>
      <c r="O3700" t="n">
        <v>-75</v>
      </c>
      <c r="P3700" t="n">
        <v>0.03336</v>
      </c>
      <c r="Q3700" t="n">
        <v>65</v>
      </c>
      <c r="R3700" t="n">
        <v>0.0853</v>
      </c>
      <c r="S3700">
        <f>IMAGE("https://mitra.stanford.edu/kundaje/oak/projects/neuro-variants/variant_position/credible/roussos_2024/variant_figures/roussos_2024.adolescence.Astrocyte/rs7799227_count_position.png",4,220,900)</f>
        <v/>
      </c>
      <c r="T3700">
        <f>IMAGE("https://mitra.stanford.edu/kundaje/oak/projects/neuro-variants/variant_position/credible/roussos_2024/variant_figures/roussos_2024.adolescence.Astrocyte/rs7799227_profile_position.png",4,220,900)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-0.00995713568</v>
      </c>
      <c r="G3701" t="n">
        <v>0.7609087756416664</v>
      </c>
      <c r="H3701" t="n">
        <v>0.0224422575373405</v>
      </c>
      <c r="I3701" t="n">
        <v>0.0949920567456356</v>
      </c>
      <c r="J3701" t="n">
        <v>0.0739407471145001</v>
      </c>
      <c r="K3701" t="n">
        <v>0.3814404470803918</v>
      </c>
      <c r="L3701" t="b">
        <v>0</v>
      </c>
      <c r="M3701" t="b">
        <v>0</v>
      </c>
      <c r="N3701" t="inlineStr">
        <is>
          <t>ref</t>
        </is>
      </c>
      <c r="O3701" t="n">
        <v>-30</v>
      </c>
      <c r="P3701" t="n">
        <v>0.00476</v>
      </c>
      <c r="Q3701" t="n">
        <v>85</v>
      </c>
      <c r="R3701" t="n">
        <v>0.1321</v>
      </c>
      <c r="S3701">
        <f>IMAGE("https://mitra.stanford.edu/kundaje/oak/projects/neuro-variants/variant_position/credible/roussos_2024/variant_figures/roussos_2024.adolescence.Astrocyte/rs13231507_count_position.png",4,220,900)</f>
        <v/>
      </c>
      <c r="T3701">
        <f>IMAGE("https://mitra.stanford.edu/kundaje/oak/projects/neuro-variants/variant_position/credible/roussos_2024/variant_figures/roussos_2024.adolescence.Astrocyte/rs13231507_profile_position.png",4,220,900)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-0.00041163884</v>
      </c>
      <c r="G3702" t="n">
        <v>0.7725943088048117</v>
      </c>
      <c r="H3702" t="n">
        <v>0.0215742605304588</v>
      </c>
      <c r="I3702" t="n">
        <v>0.1061155512772496</v>
      </c>
      <c r="J3702" t="n">
        <v>0.1131390380678277</v>
      </c>
      <c r="K3702" t="n">
        <v>0.3021410761870942</v>
      </c>
      <c r="L3702" t="b">
        <v>0</v>
      </c>
      <c r="M3702" t="b">
        <v>0</v>
      </c>
      <c r="N3702" t="inlineStr">
        <is>
          <t>ref</t>
        </is>
      </c>
      <c r="O3702" t="n">
        <v>100</v>
      </c>
      <c r="P3702" t="n">
        <v>0.078</v>
      </c>
      <c r="Q3702" t="n">
        <v>100</v>
      </c>
      <c r="R3702" t="n">
        <v>0.5947</v>
      </c>
      <c r="S3702">
        <f>IMAGE("https://mitra.stanford.edu/kundaje/oak/projects/neuro-variants/variant_position/credible/roussos_2024/variant_figures/roussos_2024.adolescence.Astrocyte/rs7801170_count_position.png",4,220,900)</f>
        <v/>
      </c>
      <c r="T3702">
        <f>IMAGE("https://mitra.stanford.edu/kundaje/oak/projects/neuro-variants/variant_position/credible/roussos_2024/variant_figures/roussos_2024.adolescence.Astrocyte/rs7801170_profile_position.png",4,220,900)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-0.00279374338</v>
      </c>
      <c r="G3703" t="n">
        <v>0.6949949919973214</v>
      </c>
      <c r="H3703" t="n">
        <v>0.0255776507730746</v>
      </c>
      <c r="I3703" t="n">
        <v>0.0575585121608792</v>
      </c>
      <c r="J3703" t="n">
        <v>0.051952348455627</v>
      </c>
      <c r="K3703" t="n">
        <v>0.439930555677488</v>
      </c>
      <c r="L3703" t="b">
        <v>0</v>
      </c>
      <c r="M3703" t="b">
        <v>0</v>
      </c>
      <c r="N3703" t="inlineStr">
        <is>
          <t>ref</t>
        </is>
      </c>
      <c r="O3703" t="n">
        <v>50</v>
      </c>
      <c r="P3703" t="n">
        <v>0.01758</v>
      </c>
      <c r="Q3703" t="n">
        <v>-90</v>
      </c>
      <c r="R3703" t="n">
        <v>0.07006999999999999</v>
      </c>
      <c r="S3703">
        <f>IMAGE("https://mitra.stanford.edu/kundaje/oak/projects/neuro-variants/variant_position/credible/roussos_2024/variant_figures/roussos_2024.adolescence.Astrocyte/rs12537428_count_position.png",4,220,900)</f>
        <v/>
      </c>
      <c r="T3703">
        <f>IMAGE("https://mitra.stanford.edu/kundaje/oak/projects/neuro-variants/variant_position/credible/roussos_2024/variant_figures/roussos_2024.adolescence.Astrocyte/rs12537428_profile_position.png",4,220,900)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-0.182045748</v>
      </c>
      <c r="G3704" t="n">
        <v>0.0242110557206272</v>
      </c>
      <c r="H3704" t="n">
        <v>0.0158727538319388</v>
      </c>
      <c r="I3704" t="n">
        <v>0.2790792647525945</v>
      </c>
      <c r="J3704" t="n">
        <v>0.0590748598047651</v>
      </c>
      <c r="K3704" t="n">
        <v>0.4347280747416753</v>
      </c>
      <c r="L3704" t="b">
        <v>0</v>
      </c>
      <c r="M3704" t="b">
        <v>0</v>
      </c>
      <c r="N3704" t="inlineStr">
        <is>
          <t>ref</t>
        </is>
      </c>
      <c r="O3704" t="n">
        <v>-30</v>
      </c>
      <c r="P3704" t="n">
        <v>0.009719999999999999</v>
      </c>
      <c r="Q3704" t="n">
        <v>45</v>
      </c>
      <c r="R3704" t="n">
        <v>0.0985</v>
      </c>
      <c r="S3704">
        <f>IMAGE("https://mitra.stanford.edu/kundaje/oak/projects/neuro-variants/variant_position/credible/roussos_2024/variant_figures/roussos_2024.adolescence.Astrocyte/rs10486883_count_position.png",4,220,900)</f>
        <v/>
      </c>
      <c r="T3704">
        <f>IMAGE("https://mitra.stanford.edu/kundaje/oak/projects/neuro-variants/variant_position/credible/roussos_2024/variant_figures/roussos_2024.adolescence.Astrocyte/rs10486883_profile_position.png",4,220,900)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-0.078210276</v>
      </c>
      <c r="G3705" t="n">
        <v>0.1192310298511972</v>
      </c>
      <c r="H3705" t="n">
        <v>0.027819155863185</v>
      </c>
      <c r="I3705" t="n">
        <v>0.0423807834116416</v>
      </c>
      <c r="J3705" t="n">
        <v>0.0258530397887427</v>
      </c>
      <c r="K3705" t="n">
        <v>0.5406206888560773</v>
      </c>
      <c r="L3705" t="b">
        <v>0</v>
      </c>
      <c r="M3705" t="b">
        <v>0</v>
      </c>
      <c r="N3705" t="inlineStr">
        <is>
          <t>ref</t>
        </is>
      </c>
      <c r="O3705" t="n">
        <v>-95</v>
      </c>
      <c r="P3705" t="n">
        <v>0.0002441</v>
      </c>
      <c r="Q3705" t="n">
        <v>-95</v>
      </c>
      <c r="R3705" t="n">
        <v>0.062</v>
      </c>
      <c r="S3705">
        <f>IMAGE("https://mitra.stanford.edu/kundaje/oak/projects/neuro-variants/variant_position/credible/roussos_2024/variant_figures/roussos_2024.adolescence.Astrocyte/rs12154550_count_position.png",4,220,900)</f>
        <v/>
      </c>
      <c r="T3705">
        <f>IMAGE("https://mitra.stanford.edu/kundaje/oak/projects/neuro-variants/variant_position/credible/roussos_2024/variant_figures/roussos_2024.adolescence.Astrocyte/rs12154550_profile_position.png",4,220,900)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-0.09650117359999991</v>
      </c>
      <c r="G3706" t="n">
        <v>0.0996403511335503</v>
      </c>
      <c r="H3706" t="n">
        <v>0.0139303841491625</v>
      </c>
      <c r="I3706" t="n">
        <v>0.4005264934913889</v>
      </c>
      <c r="J3706" t="n">
        <v>0.06469082870961031</v>
      </c>
      <c r="K3706" t="n">
        <v>0.4162761138861106</v>
      </c>
      <c r="L3706" t="b">
        <v>0</v>
      </c>
      <c r="M3706" t="b">
        <v>0</v>
      </c>
      <c r="N3706" t="inlineStr">
        <is>
          <t>ref</t>
        </is>
      </c>
      <c r="O3706" t="n">
        <v>-100</v>
      </c>
      <c r="P3706" t="n">
        <v>0.008059999999999999</v>
      </c>
      <c r="Q3706" t="n">
        <v>-20</v>
      </c>
      <c r="R3706" t="n">
        <v>0.0338</v>
      </c>
      <c r="S3706">
        <f>IMAGE("https://mitra.stanford.edu/kundaje/oak/projects/neuro-variants/variant_position/credible/roussos_2024/variant_figures/roussos_2024.adolescence.Astrocyte/rs4719223_count_position.png",4,220,900)</f>
        <v/>
      </c>
      <c r="T3706">
        <f>IMAGE("https://mitra.stanford.edu/kundaje/oak/projects/neuro-variants/variant_position/credible/roussos_2024/variant_figures/roussos_2024.adolescence.Astrocyte/rs4719223_profile_position.png",4,220,900)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-0.0254115894</v>
      </c>
      <c r="G3707" t="n">
        <v>0.4766120449442295</v>
      </c>
      <c r="H3707" t="n">
        <v>0.0588864001133916</v>
      </c>
      <c r="I3707" t="n">
        <v>0.0021842277430054</v>
      </c>
      <c r="J3707" t="n">
        <v>0.0056471234014775</v>
      </c>
      <c r="K3707" t="n">
        <v>0.7279230009188057</v>
      </c>
      <c r="L3707" t="b">
        <v>0</v>
      </c>
      <c r="M3707" t="b">
        <v>0</v>
      </c>
      <c r="N3707" t="inlineStr">
        <is>
          <t>ref</t>
        </is>
      </c>
      <c r="O3707" t="n">
        <v>-100</v>
      </c>
      <c r="P3707" t="n">
        <v>0.01965</v>
      </c>
      <c r="Q3707" t="n">
        <v>70</v>
      </c>
      <c r="R3707" t="n">
        <v>0.1387</v>
      </c>
      <c r="S3707">
        <f>IMAGE("https://mitra.stanford.edu/kundaje/oak/projects/neuro-variants/variant_position/credible/roussos_2024/variant_figures/roussos_2024.adolescence.Astrocyte/rs5025436_count_position.png",4,220,900)</f>
        <v/>
      </c>
      <c r="T3707">
        <f>IMAGE("https://mitra.stanford.edu/kundaje/oak/projects/neuro-variants/variant_position/credible/roussos_2024/variant_figures/roussos_2024.adolescence.Astrocyte/rs5025436_profile_position.png",4,220,900)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-0.0279727178</v>
      </c>
      <c r="G3708" t="n">
        <v>0.4429175120347003</v>
      </c>
      <c r="H3708" t="n">
        <v>0.0102285651702999</v>
      </c>
      <c r="I3708" t="n">
        <v>0.7161527371314511</v>
      </c>
      <c r="J3708" t="n">
        <v>0.0588233985105182</v>
      </c>
      <c r="K3708" t="n">
        <v>0.4366080170705643</v>
      </c>
      <c r="L3708" t="b">
        <v>0</v>
      </c>
      <c r="M3708" t="b">
        <v>0</v>
      </c>
      <c r="N3708" t="inlineStr">
        <is>
          <t>ref</t>
        </is>
      </c>
      <c r="O3708" t="n">
        <v>80</v>
      </c>
      <c r="P3708" t="n">
        <v>0.007496</v>
      </c>
      <c r="Q3708" t="n">
        <v>100</v>
      </c>
      <c r="R3708" t="n">
        <v>0.02142</v>
      </c>
      <c r="S3708">
        <f>IMAGE("https://mitra.stanford.edu/kundaje/oak/projects/neuro-variants/variant_position/credible/roussos_2024/variant_figures/roussos_2024.adolescence.Astrocyte/rs78928669_count_position.png",4,220,900)</f>
        <v/>
      </c>
      <c r="T3708">
        <f>IMAGE("https://mitra.stanford.edu/kundaje/oak/projects/neuro-variants/variant_position/credible/roussos_2024/variant_figures/roussos_2024.adolescence.Astrocyte/rs78928669_profile_position.png",4,220,900)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-0.0283918338</v>
      </c>
      <c r="G3709" t="n">
        <v>0.4342081855897485</v>
      </c>
      <c r="H3709" t="n">
        <v>0.0123990924734771</v>
      </c>
      <c r="I3709" t="n">
        <v>0.5199538898056698</v>
      </c>
      <c r="J3709" t="n">
        <v>0.0188373438566299</v>
      </c>
      <c r="K3709" t="n">
        <v>0.5864256411870949</v>
      </c>
      <c r="L3709" t="b">
        <v>0</v>
      </c>
      <c r="M3709" t="b">
        <v>0</v>
      </c>
      <c r="N3709" t="inlineStr">
        <is>
          <t>ref</t>
        </is>
      </c>
      <c r="O3709" t="n">
        <v>-100</v>
      </c>
      <c r="P3709" t="n">
        <v>0.009050000000000001</v>
      </c>
      <c r="Q3709" t="n">
        <v>95</v>
      </c>
      <c r="R3709" t="n">
        <v>0.08185000000000001</v>
      </c>
      <c r="S3709">
        <f>IMAGE("https://mitra.stanford.edu/kundaje/oak/projects/neuro-variants/variant_position/credible/roussos_2024/variant_figures/roussos_2024.adolescence.Astrocyte/rs2944829_count_position.png",4,220,900)</f>
        <v/>
      </c>
      <c r="T3709">
        <f>IMAGE("https://mitra.stanford.edu/kundaje/oak/projects/neuro-variants/variant_position/credible/roussos_2024/variant_figures/roussos_2024.adolescence.Astrocyte/rs2944829_profile_position.png",4,220,900)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0.0898709432</v>
      </c>
      <c r="G3710" t="n">
        <v>0.0963973859893726</v>
      </c>
      <c r="H3710" t="n">
        <v>0.0121691239736294</v>
      </c>
      <c r="I3710" t="n">
        <v>0.5350913633736524</v>
      </c>
      <c r="J3710" t="n">
        <v>0.000873067679435</v>
      </c>
      <c r="K3710" t="n">
        <v>0.8788102462248369</v>
      </c>
      <c r="L3710" t="b">
        <v>0</v>
      </c>
      <c r="M3710" t="b">
        <v>0</v>
      </c>
      <c r="N3710" t="inlineStr">
        <is>
          <t>alt</t>
        </is>
      </c>
      <c r="O3710" t="n">
        <v>100</v>
      </c>
      <c r="P3710" t="n">
        <v>0.001762</v>
      </c>
      <c r="Q3710" t="n">
        <v>100</v>
      </c>
      <c r="R3710" t="n">
        <v>0.1558</v>
      </c>
      <c r="S3710">
        <f>IMAGE("https://mitra.stanford.edu/kundaje/oak/projects/neuro-variants/variant_position/credible/roussos_2024/variant_figures/roussos_2024.adolescence.Astrocyte/rs2944825_count_position.png",4,220,900)</f>
        <v/>
      </c>
      <c r="T3710">
        <f>IMAGE("https://mitra.stanford.edu/kundaje/oak/projects/neuro-variants/variant_position/credible/roussos_2024/variant_figures/roussos_2024.adolescence.Astrocyte/rs2944825_profile_position.png",4,220,900)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-0.20866557</v>
      </c>
      <c r="G3711" t="n">
        <v>0.0202520868755719</v>
      </c>
      <c r="H3711" t="n">
        <v>0.0247611664804483</v>
      </c>
      <c r="I3711" t="n">
        <v>0.07094557544712821</v>
      </c>
      <c r="J3711" t="n">
        <v>0.5354938729489958</v>
      </c>
      <c r="K3711" t="n">
        <v>0.047199235892385</v>
      </c>
      <c r="L3711" t="b">
        <v>1</v>
      </c>
      <c r="M3711" t="b">
        <v>0</v>
      </c>
      <c r="N3711" t="inlineStr">
        <is>
          <t>ref</t>
        </is>
      </c>
      <c r="O3711" t="n">
        <v>60</v>
      </c>
      <c r="P3711" t="n">
        <v>0.003353</v>
      </c>
      <c r="Q3711" t="n">
        <v>55</v>
      </c>
      <c r="R3711" t="n">
        <v>0.1167</v>
      </c>
      <c r="S3711">
        <f>IMAGE("https://mitra.stanford.edu/kundaje/oak/projects/neuro-variants/variant_position/credible/roussos_2024/variant_figures/roussos_2024.adolescence.Astrocyte/rs11768943_count_position.png",4,220,900)</f>
        <v/>
      </c>
      <c r="T3711">
        <f>IMAGE("https://mitra.stanford.edu/kundaje/oak/projects/neuro-variants/variant_position/credible/roussos_2024/variant_figures/roussos_2024.adolescence.Astrocyte/rs11768943_profile_position.png",4,220,900)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-0.182205751</v>
      </c>
      <c r="G3712" t="n">
        <v>0.0247181626676311</v>
      </c>
      <c r="H3712" t="n">
        <v>0.0269460432147195</v>
      </c>
      <c r="I3712" t="n">
        <v>0.0489519024094842</v>
      </c>
      <c r="J3712" t="n">
        <v>0.1300455449069815</v>
      </c>
      <c r="K3712" t="n">
        <v>0.2835754891508035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0.0445</v>
      </c>
      <c r="Q3712" t="n">
        <v>100</v>
      </c>
      <c r="R3712" t="n">
        <v>0.2262</v>
      </c>
      <c r="S3712">
        <f>IMAGE("https://mitra.stanford.edu/kundaje/oak/projects/neuro-variants/variant_position/credible/roussos_2024/variant_figures/roussos_2024.adolescence.Astrocyte/rs2944814_count_position.png",4,220,900)</f>
        <v/>
      </c>
      <c r="T3712">
        <f>IMAGE("https://mitra.stanford.edu/kundaje/oak/projects/neuro-variants/variant_position/credible/roussos_2024/variant_figures/roussos_2024.adolescence.Astrocyte/rs2944814_profile_position.png",4,220,900)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-0.0375442536</v>
      </c>
      <c r="G3713" t="n">
        <v>0.3531003177759793</v>
      </c>
      <c r="H3713" t="n">
        <v>0.0393853536383333</v>
      </c>
      <c r="I3713" t="n">
        <v>0.010208248585353</v>
      </c>
      <c r="J3713" t="n">
        <v>0.0017149808622377</v>
      </c>
      <c r="K3713" t="n">
        <v>0.8426674769260415</v>
      </c>
      <c r="L3713" t="b">
        <v>0</v>
      </c>
      <c r="M3713" t="b">
        <v>0</v>
      </c>
      <c r="N3713" t="inlineStr">
        <is>
          <t>ref</t>
        </is>
      </c>
      <c r="O3713" t="n">
        <v>50</v>
      </c>
      <c r="P3713" t="n">
        <v>0.006123</v>
      </c>
      <c r="Q3713" t="n">
        <v>10</v>
      </c>
      <c r="R3713" t="n">
        <v>0.01056</v>
      </c>
      <c r="S3713">
        <f>IMAGE("https://mitra.stanford.edu/kundaje/oak/projects/neuro-variants/variant_position/credible/roussos_2024/variant_figures/roussos_2024.adolescence.Astrocyte/rs11764286_count_position.png",4,220,900)</f>
        <v/>
      </c>
      <c r="T3713">
        <f>IMAGE("https://mitra.stanford.edu/kundaje/oak/projects/neuro-variants/variant_position/credible/roussos_2024/variant_figures/roussos_2024.adolescence.Astrocyte/rs11764286_profile_position.png",4,220,900)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-0.0009857179799998999</v>
      </c>
      <c r="G3714" t="n">
        <v>0.7085075185944336</v>
      </c>
      <c r="H3714" t="n">
        <v>0.0218982640547158</v>
      </c>
      <c r="I3714" t="n">
        <v>0.1019762836153641</v>
      </c>
      <c r="J3714" t="n">
        <v>0.135054001127496</v>
      </c>
      <c r="K3714" t="n">
        <v>0.269921442980103</v>
      </c>
      <c r="L3714" t="b">
        <v>0</v>
      </c>
      <c r="M3714" t="b">
        <v>0</v>
      </c>
      <c r="N3714" t="inlineStr">
        <is>
          <t>ref</t>
        </is>
      </c>
      <c r="O3714" t="n">
        <v>-80</v>
      </c>
      <c r="P3714" t="n">
        <v>0.0345</v>
      </c>
      <c r="Q3714" t="n">
        <v>75</v>
      </c>
      <c r="R3714" t="n">
        <v>0.1942</v>
      </c>
      <c r="S3714">
        <f>IMAGE("https://mitra.stanford.edu/kundaje/oak/projects/neuro-variants/variant_position/credible/roussos_2024/variant_figures/roussos_2024.adolescence.Astrocyte/rs2944808_count_position.png",4,220,900)</f>
        <v/>
      </c>
      <c r="T3714">
        <f>IMAGE("https://mitra.stanford.edu/kundaje/oak/projects/neuro-variants/variant_position/credible/roussos_2024/variant_figures/roussos_2024.adolescence.Astrocyte/rs2944808_profile_position.png",4,220,900)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-0.00055545546</v>
      </c>
      <c r="G3715" t="n">
        <v>0.900786514987966</v>
      </c>
      <c r="H3715" t="n">
        <v>0.021256350575864</v>
      </c>
      <c r="I3715" t="n">
        <v>0.1117792501254405</v>
      </c>
      <c r="J3715" t="n">
        <v>0.134363409785479</v>
      </c>
      <c r="K3715" t="n">
        <v>0.2707779498249791</v>
      </c>
      <c r="L3715" t="b">
        <v>0</v>
      </c>
      <c r="M3715" t="b">
        <v>0</v>
      </c>
      <c r="N3715" t="inlineStr">
        <is>
          <t>ref</t>
        </is>
      </c>
      <c r="O3715" t="n">
        <v>-80</v>
      </c>
      <c r="P3715" t="n">
        <v>0.0393</v>
      </c>
      <c r="Q3715" t="n">
        <v>-90</v>
      </c>
      <c r="R3715" t="n">
        <v>0.167</v>
      </c>
      <c r="S3715">
        <f>IMAGE("https://mitra.stanford.edu/kundaje/oak/projects/neuro-variants/variant_position/credible/roussos_2024/variant_figures/roussos_2024.adolescence.Astrocyte/rs2968518_count_position.png",4,220,900)</f>
        <v/>
      </c>
      <c r="T3715">
        <f>IMAGE("https://mitra.stanford.edu/kundaje/oak/projects/neuro-variants/variant_position/credible/roussos_2024/variant_figures/roussos_2024.adolescence.Astrocyte/rs2968518_profile_position.png",4,220,900)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0.0226115965</v>
      </c>
      <c r="G3716" t="n">
        <v>0.3369794748877146</v>
      </c>
      <c r="H3716" t="n">
        <v>0.0189094692602572</v>
      </c>
      <c r="I3716" t="n">
        <v>0.1660595455668024</v>
      </c>
      <c r="J3716" t="n">
        <v>0.0224089843634097</v>
      </c>
      <c r="K3716" t="n">
        <v>0.5609787421621926</v>
      </c>
      <c r="L3716" t="b">
        <v>0</v>
      </c>
      <c r="M3716" t="b">
        <v>0</v>
      </c>
      <c r="N3716" t="inlineStr">
        <is>
          <t>alt</t>
        </is>
      </c>
      <c r="O3716" t="n">
        <v>-10</v>
      </c>
      <c r="P3716" t="n">
        <v>0.003021</v>
      </c>
      <c r="Q3716" t="n">
        <v>-80</v>
      </c>
      <c r="R3716" t="n">
        <v>0.04468</v>
      </c>
      <c r="S3716">
        <f>IMAGE("https://mitra.stanford.edu/kundaje/oak/projects/neuro-variants/variant_position/credible/roussos_2024/variant_figures/roussos_2024.adolescence.Astrocyte/rs2968538_count_position.png",4,220,900)</f>
        <v/>
      </c>
      <c r="T3716">
        <f>IMAGE("https://mitra.stanford.edu/kundaje/oak/projects/neuro-variants/variant_position/credible/roussos_2024/variant_figures/roussos_2024.adolescence.Astrocyte/rs2968538_profile_position.png",4,220,900)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-0.07088077199999999</v>
      </c>
      <c r="G3717" t="n">
        <v>0.1612421056945217</v>
      </c>
      <c r="H3717" t="n">
        <v>0.0164749985369392</v>
      </c>
      <c r="I3717" t="n">
        <v>0.252177474688162</v>
      </c>
      <c r="J3717" t="n">
        <v>0.0006839153784529</v>
      </c>
      <c r="K3717" t="n">
        <v>0.9037327888590244</v>
      </c>
      <c r="L3717" t="b">
        <v>0</v>
      </c>
      <c r="M3717" t="b">
        <v>0</v>
      </c>
      <c r="N3717" t="inlineStr">
        <is>
          <t>ref</t>
        </is>
      </c>
      <c r="O3717" t="n">
        <v>-95</v>
      </c>
      <c r="P3717" t="n">
        <v>0.01536</v>
      </c>
      <c r="Q3717" t="n">
        <v>95</v>
      </c>
      <c r="R3717" t="n">
        <v>0.11743</v>
      </c>
      <c r="S3717">
        <f>IMAGE("https://mitra.stanford.edu/kundaje/oak/projects/neuro-variants/variant_position/credible/roussos_2024/variant_figures/roussos_2024.adolescence.Astrocyte/rs6963266_count_position.png",4,220,900)</f>
        <v/>
      </c>
      <c r="T3717">
        <f>IMAGE("https://mitra.stanford.edu/kundaje/oak/projects/neuro-variants/variant_position/credible/roussos_2024/variant_figures/roussos_2024.adolescence.Astrocyte/rs6963266_profile_position.png",4,220,900)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0.0894607058</v>
      </c>
      <c r="G3718" t="n">
        <v>0.1055152654147661</v>
      </c>
      <c r="H3718" t="n">
        <v>0.0191406431169651</v>
      </c>
      <c r="I3718" t="n">
        <v>0.1582373591148542</v>
      </c>
      <c r="J3718" t="n">
        <v>0.3432735958223303</v>
      </c>
      <c r="K3718" t="n">
        <v>0.109954524595627</v>
      </c>
      <c r="L3718" t="b">
        <v>0</v>
      </c>
      <c r="M3718" t="b">
        <v>0</v>
      </c>
      <c r="N3718" t="inlineStr">
        <is>
          <t>alt</t>
        </is>
      </c>
      <c r="O3718" t="n">
        <v>15</v>
      </c>
      <c r="P3718" t="n">
        <v>0.00461</v>
      </c>
      <c r="Q3718" t="n">
        <v>15</v>
      </c>
      <c r="R3718" t="n">
        <v>0.02246</v>
      </c>
      <c r="S3718">
        <f>IMAGE("https://mitra.stanford.edu/kundaje/oak/projects/neuro-variants/variant_position/credible/roussos_2024/variant_figures/roussos_2024.adolescence.Astrocyte/rs6467913_count_position.png",4,220,900)</f>
        <v/>
      </c>
      <c r="T3718">
        <f>IMAGE("https://mitra.stanford.edu/kundaje/oak/projects/neuro-variants/variant_position/credible/roussos_2024/variant_figures/roussos_2024.adolescence.Astrocyte/rs6467913_profile_position.png",4,220,900)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0.01730765462</v>
      </c>
      <c r="G3719" t="n">
        <v>0.5930014817527589</v>
      </c>
      <c r="H3719" t="n">
        <v>0.0280412201810237</v>
      </c>
      <c r="I3719" t="n">
        <v>0.0409161985945156</v>
      </c>
      <c r="J3719" t="n">
        <v>0.0864099635047324</v>
      </c>
      <c r="K3719" t="n">
        <v>0.3500991929341434</v>
      </c>
      <c r="L3719" t="b">
        <v>0</v>
      </c>
      <c r="M3719" t="b">
        <v>0</v>
      </c>
      <c r="N3719" t="inlineStr">
        <is>
          <t>alt</t>
        </is>
      </c>
      <c r="O3719" t="n">
        <v>25</v>
      </c>
      <c r="P3719" t="n">
        <v>0.001373</v>
      </c>
      <c r="Q3719" t="n">
        <v>0</v>
      </c>
      <c r="R3719" t="n">
        <v>0</v>
      </c>
      <c r="S3719">
        <f>IMAGE("https://mitra.stanford.edu/kundaje/oak/projects/neuro-variants/variant_position/credible/roussos_2024/variant_figures/roussos_2024.adolescence.Astrocyte/rs13235048_count_position.png",4,220,900)</f>
        <v/>
      </c>
      <c r="T3719">
        <f>IMAGE("https://mitra.stanford.edu/kundaje/oak/projects/neuro-variants/variant_position/credible/roussos_2024/variant_figures/roussos_2024.adolescence.Astrocyte/rs13235048_profile_position.png",4,220,900)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0.0111585240599999</v>
      </c>
      <c r="G3720" t="n">
        <v>0.6411730957052116</v>
      </c>
      <c r="H3720" t="n">
        <v>0.0284213960895496</v>
      </c>
      <c r="I3720" t="n">
        <v>0.0391375190482655</v>
      </c>
      <c r="J3720" t="n">
        <v>0.1929880129365338</v>
      </c>
      <c r="K3720" t="n">
        <v>0.2101556641881996</v>
      </c>
      <c r="L3720" t="b">
        <v>0</v>
      </c>
      <c r="M3720" t="b">
        <v>0</v>
      </c>
      <c r="N3720" t="inlineStr">
        <is>
          <t>alt</t>
        </is>
      </c>
      <c r="O3720" t="n">
        <v>0</v>
      </c>
      <c r="P3720" t="n">
        <v>0</v>
      </c>
      <c r="Q3720" t="n">
        <v>-20</v>
      </c>
      <c r="R3720" t="n">
        <v>0.07227</v>
      </c>
      <c r="S3720">
        <f>IMAGE("https://mitra.stanford.edu/kundaje/oak/projects/neuro-variants/variant_position/credible/roussos_2024/variant_figures/roussos_2024.adolescence.Astrocyte/rs17284668_count_position.png",4,220,900)</f>
        <v/>
      </c>
      <c r="T3720">
        <f>IMAGE("https://mitra.stanford.edu/kundaje/oak/projects/neuro-variants/variant_position/credible/roussos_2024/variant_figures/roussos_2024.adolescence.Astrocyte/rs17284668_profile_position.png",4,220,900)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0.0226174745</v>
      </c>
      <c r="G3721" t="n">
        <v>0.500161529737905</v>
      </c>
      <c r="H3721" t="n">
        <v>0.0251794967920863</v>
      </c>
      <c r="I3721" t="n">
        <v>0.0626021585215987</v>
      </c>
      <c r="J3721" t="n">
        <v>0.0056701183870871</v>
      </c>
      <c r="K3721" t="n">
        <v>0.735879838482276</v>
      </c>
      <c r="L3721" t="b">
        <v>0</v>
      </c>
      <c r="M3721" t="b">
        <v>0</v>
      </c>
      <c r="N3721" t="inlineStr">
        <is>
          <t>alt</t>
        </is>
      </c>
      <c r="O3721" t="n">
        <v>75</v>
      </c>
      <c r="P3721" t="n">
        <v>0.02127</v>
      </c>
      <c r="Q3721" t="n">
        <v>75</v>
      </c>
      <c r="R3721" t="n">
        <v>0.3364</v>
      </c>
      <c r="S3721">
        <f>IMAGE("https://mitra.stanford.edu/kundaje/oak/projects/neuro-variants/variant_position/credible/roussos_2024/variant_figures/roussos_2024.adolescence.Astrocyte/rs2189246_count_position.png",4,220,900)</f>
        <v/>
      </c>
      <c r="T3721">
        <f>IMAGE("https://mitra.stanford.edu/kundaje/oak/projects/neuro-variants/variant_position/credible/roussos_2024/variant_figures/roussos_2024.adolescence.Astrocyte/rs2189246_profile_position.png",4,220,900)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0.008436817399999999</v>
      </c>
      <c r="G3722" t="n">
        <v>0.7705895449522333</v>
      </c>
      <c r="H3722" t="n">
        <v>0.0186789074067984</v>
      </c>
      <c r="I3722" t="n">
        <v>0.1713474609392269</v>
      </c>
      <c r="J3722" t="n">
        <v>0.0762862356466783</v>
      </c>
      <c r="K3722" t="n">
        <v>0.3731765815597292</v>
      </c>
      <c r="L3722" t="b">
        <v>0</v>
      </c>
      <c r="M3722" t="b">
        <v>0</v>
      </c>
      <c r="N3722" t="inlineStr">
        <is>
          <t>alt</t>
        </is>
      </c>
      <c r="O3722" t="n">
        <v>65</v>
      </c>
      <c r="P3722" t="n">
        <v>0.008606000000000001</v>
      </c>
      <c r="Q3722" t="n">
        <v>100</v>
      </c>
      <c r="R3722" t="n">
        <v>0.1661</v>
      </c>
      <c r="S3722">
        <f>IMAGE("https://mitra.stanford.edu/kundaje/oak/projects/neuro-variants/variant_position/credible/roussos_2024/variant_figures/roussos_2024.adolescence.Astrocyte/rs2189247_count_position.png",4,220,900)</f>
        <v/>
      </c>
      <c r="T3722">
        <f>IMAGE("https://mitra.stanford.edu/kundaje/oak/projects/neuro-variants/variant_position/credible/roussos_2024/variant_figures/roussos_2024.adolescence.Astrocyte/rs2189247_profile_position.png",4,220,900)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0.0014363786999999</v>
      </c>
      <c r="G3723" t="n">
        <v>0.6236126499452384</v>
      </c>
      <c r="H3723" t="n">
        <v>0.022942800645943</v>
      </c>
      <c r="I3723" t="n">
        <v>0.0855504737878667</v>
      </c>
      <c r="J3723" t="n">
        <v>0.0162463282200397</v>
      </c>
      <c r="K3723" t="n">
        <v>0.6065090291168812</v>
      </c>
      <c r="L3723" t="b">
        <v>0</v>
      </c>
      <c r="M3723" t="b">
        <v>0</v>
      </c>
      <c r="N3723" t="inlineStr">
        <is>
          <t>alt</t>
        </is>
      </c>
      <c r="O3723" t="n">
        <v>0</v>
      </c>
      <c r="P3723" t="n">
        <v>0</v>
      </c>
      <c r="Q3723" t="n">
        <v>-85</v>
      </c>
      <c r="R3723" t="n">
        <v>0.05023</v>
      </c>
      <c r="S3723">
        <f>IMAGE("https://mitra.stanford.edu/kundaje/oak/projects/neuro-variants/variant_position/credible/roussos_2024/variant_figures/roussos_2024.adolescence.Astrocyte/rs2715148_count_position.png",4,220,900)</f>
        <v/>
      </c>
      <c r="T3723">
        <f>IMAGE("https://mitra.stanford.edu/kundaje/oak/projects/neuro-variants/variant_position/credible/roussos_2024/variant_figures/roussos_2024.adolescence.Astrocyte/rs2715148_profile_position.png",4,220,900)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-0.0228355166</v>
      </c>
      <c r="G3724" t="n">
        <v>0.5162262246771755</v>
      </c>
      <c r="H3724" t="n">
        <v>0.0405556916028867</v>
      </c>
      <c r="I3724" t="n">
        <v>0.0093692294303833</v>
      </c>
      <c r="J3724" t="n">
        <v>0.0007677358098685</v>
      </c>
      <c r="K3724" t="n">
        <v>0.8879348460453822</v>
      </c>
      <c r="L3724" t="b">
        <v>0</v>
      </c>
      <c r="M3724" t="b">
        <v>0</v>
      </c>
      <c r="N3724" t="inlineStr">
        <is>
          <t>ref</t>
        </is>
      </c>
      <c r="O3724" t="n">
        <v>80</v>
      </c>
      <c r="P3724" t="n">
        <v>0.00464</v>
      </c>
      <c r="Q3724" t="n">
        <v>-75</v>
      </c>
      <c r="R3724" t="n">
        <v>0.1295</v>
      </c>
      <c r="S3724">
        <f>IMAGE("https://mitra.stanford.edu/kundaje/oak/projects/neuro-variants/variant_position/credible/roussos_2024/variant_figures/roussos_2024.adolescence.Astrocyte/rs2522839_count_position.png",4,220,900)</f>
        <v/>
      </c>
      <c r="T3724">
        <f>IMAGE("https://mitra.stanford.edu/kundaje/oak/projects/neuro-variants/variant_position/credible/roussos_2024/variant_figures/roussos_2024.adolescence.Astrocyte/rs2522839_profile_position.png",4,220,900)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-0.00109881906</v>
      </c>
      <c r="G3725" t="n">
        <v>0.8093544700214963</v>
      </c>
      <c r="H3725" t="n">
        <v>0.0336041294131777</v>
      </c>
      <c r="I3725" t="n">
        <v>0.0197453630120476</v>
      </c>
      <c r="J3725" t="n">
        <v>0.0001223926653413</v>
      </c>
      <c r="K3725" t="n">
        <v>0.9750737275226092</v>
      </c>
      <c r="L3725" t="b">
        <v>0</v>
      </c>
      <c r="M3725" t="b">
        <v>0</v>
      </c>
      <c r="N3725" t="inlineStr">
        <is>
          <t>ref</t>
        </is>
      </c>
      <c r="O3725" t="n">
        <v>-90</v>
      </c>
      <c r="P3725" t="n">
        <v>0.01314</v>
      </c>
      <c r="Q3725" t="n">
        <v>60</v>
      </c>
      <c r="R3725" t="n">
        <v>0.1377</v>
      </c>
      <c r="S3725">
        <f>IMAGE("https://mitra.stanford.edu/kundaje/oak/projects/neuro-variants/variant_position/credible/roussos_2024/variant_figures/roussos_2024.adolescence.Astrocyte/rs2107069_count_position.png",4,220,900)</f>
        <v/>
      </c>
      <c r="T3725">
        <f>IMAGE("https://mitra.stanford.edu/kundaje/oak/projects/neuro-variants/variant_position/credible/roussos_2024/variant_figures/roussos_2024.adolescence.Astrocyte/rs2107069_profile_position.png",4,220,900)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0.0534475709999999</v>
      </c>
      <c r="G3726" t="n">
        <v>0.2121864926918903</v>
      </c>
      <c r="H3726" t="n">
        <v>0.0117430806719852</v>
      </c>
      <c r="I3726" t="n">
        <v>0.5742086600370115</v>
      </c>
      <c r="J3726" t="n">
        <v>0.0445160668189774</v>
      </c>
      <c r="K3726" t="n">
        <v>0.4552619643315037</v>
      </c>
      <c r="L3726" t="b">
        <v>0</v>
      </c>
      <c r="M3726" t="b">
        <v>0</v>
      </c>
      <c r="N3726" t="inlineStr">
        <is>
          <t>alt</t>
        </is>
      </c>
      <c r="O3726" t="n">
        <v>55</v>
      </c>
      <c r="P3726" t="n">
        <v>0.005295</v>
      </c>
      <c r="Q3726" t="n">
        <v>0</v>
      </c>
      <c r="R3726" t="n">
        <v>0</v>
      </c>
      <c r="S3726">
        <f>IMAGE("https://mitra.stanford.edu/kundaje/oak/projects/neuro-variants/variant_position/credible/roussos_2024/variant_figures/roussos_2024.adolescence.Astrocyte/rs1986742_count_position.png",4,220,900)</f>
        <v/>
      </c>
      <c r="T3726">
        <f>IMAGE("https://mitra.stanford.edu/kundaje/oak/projects/neuro-variants/variant_position/credible/roussos_2024/variant_figures/roussos_2024.adolescence.Astrocyte/rs1986742_profile_position.png",4,220,900)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-0.026837218</v>
      </c>
      <c r="G3727" t="n">
        <v>0.447886146672596</v>
      </c>
      <c r="H3727" t="n">
        <v>0.0522941583588983</v>
      </c>
      <c r="I3727" t="n">
        <v>0.0032253088853078</v>
      </c>
      <c r="J3727" t="n">
        <v>0.0036250482152923</v>
      </c>
      <c r="K3727" t="n">
        <v>0.7819531028813622</v>
      </c>
      <c r="L3727" t="b">
        <v>0</v>
      </c>
      <c r="M3727" t="b">
        <v>0</v>
      </c>
      <c r="N3727" t="inlineStr">
        <is>
          <t>ref</t>
        </is>
      </c>
      <c r="O3727" t="n">
        <v>-100</v>
      </c>
      <c r="P3727" t="n">
        <v>0.04822</v>
      </c>
      <c r="Q3727" t="n">
        <v>35</v>
      </c>
      <c r="R3727" t="n">
        <v>0.02776</v>
      </c>
      <c r="S3727">
        <f>IMAGE("https://mitra.stanford.edu/kundaje/oak/projects/neuro-variants/variant_position/credible/roussos_2024/variant_figures/roussos_2024.adolescence.Astrocyte/rs11761974_count_position.png",4,220,900)</f>
        <v/>
      </c>
      <c r="T3727">
        <f>IMAGE("https://mitra.stanford.edu/kundaje/oak/projects/neuro-variants/variant_position/credible/roussos_2024/variant_figures/roussos_2024.adolescence.Astrocyte/rs11761974_profile_position.png",4,220,900)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-0.0049224744599999</v>
      </c>
      <c r="G3728" t="n">
        <v>0.6820420133238545</v>
      </c>
      <c r="H3728" t="n">
        <v>0.0216537652332908</v>
      </c>
      <c r="I3728" t="n">
        <v>0.1045710004087593</v>
      </c>
      <c r="J3728" t="n">
        <v>0.0021274070557516</v>
      </c>
      <c r="K3728" t="n">
        <v>0.8288287649838334</v>
      </c>
      <c r="L3728" t="b">
        <v>0</v>
      </c>
      <c r="M3728" t="b">
        <v>0</v>
      </c>
      <c r="N3728" t="inlineStr">
        <is>
          <t>ref</t>
        </is>
      </c>
      <c r="O3728" t="n">
        <v>0</v>
      </c>
      <c r="P3728" t="n">
        <v>0</v>
      </c>
      <c r="Q3728" t="n">
        <v>75</v>
      </c>
      <c r="R3728" t="n">
        <v>0.09106</v>
      </c>
      <c r="S3728">
        <f>IMAGE("https://mitra.stanford.edu/kundaje/oak/projects/neuro-variants/variant_position/credible/roussos_2024/variant_figures/roussos_2024.adolescence.Astrocyte/rs62458571_count_position.png",4,220,900)</f>
        <v/>
      </c>
      <c r="T3728">
        <f>IMAGE("https://mitra.stanford.edu/kundaje/oak/projects/neuro-variants/variant_position/credible/roussos_2024/variant_figures/roussos_2024.adolescence.Astrocyte/rs62458571_profile_position.png",4,220,900)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-0.09549024139999999</v>
      </c>
      <c r="G3729" t="n">
        <v>0.1072067482876255</v>
      </c>
      <c r="H3729" t="n">
        <v>0.0300187149269918</v>
      </c>
      <c r="I3729" t="n">
        <v>0.0311547103256635</v>
      </c>
      <c r="J3729" t="n">
        <v>0.0049216686941814</v>
      </c>
      <c r="K3729" t="n">
        <v>0.7660802949933122</v>
      </c>
      <c r="L3729" t="b">
        <v>0</v>
      </c>
      <c r="M3729" t="b">
        <v>0</v>
      </c>
      <c r="N3729" t="inlineStr">
        <is>
          <t>ref</t>
        </is>
      </c>
      <c r="O3729" t="n">
        <v>-35</v>
      </c>
      <c r="P3729" t="n">
        <v>0.007965</v>
      </c>
      <c r="Q3729" t="n">
        <v>-90</v>
      </c>
      <c r="R3729" t="n">
        <v>0.1475</v>
      </c>
      <c r="S3729">
        <f>IMAGE("https://mitra.stanford.edu/kundaje/oak/projects/neuro-variants/variant_position/credible/roussos_2024/variant_figures/roussos_2024.adolescence.Astrocyte/rs13244678_count_position.png",4,220,900)</f>
        <v/>
      </c>
      <c r="T3729">
        <f>IMAGE("https://mitra.stanford.edu/kundaje/oak/projects/neuro-variants/variant_position/credible/roussos_2024/variant_figures/roussos_2024.adolescence.Astrocyte/rs13244678_profile_position.png",4,220,900)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-0.0724811068</v>
      </c>
      <c r="G3730" t="n">
        <v>0.1386795409146967</v>
      </c>
      <c r="H3730" t="n">
        <v>0.0157122779839668</v>
      </c>
      <c r="I3730" t="n">
        <v>0.2845620532652217</v>
      </c>
      <c r="J3730" t="n">
        <v>0.0048675192119395</v>
      </c>
      <c r="K3730" t="n">
        <v>0.7451429067079357</v>
      </c>
      <c r="L3730" t="b">
        <v>0</v>
      </c>
      <c r="M3730" t="b">
        <v>0</v>
      </c>
      <c r="N3730" t="inlineStr">
        <is>
          <t>ref</t>
        </is>
      </c>
      <c r="O3730" t="n">
        <v>-100</v>
      </c>
      <c r="P3730" t="n">
        <v>0.005943</v>
      </c>
      <c r="Q3730" t="n">
        <v>100</v>
      </c>
      <c r="R3730" t="n">
        <v>0.03638</v>
      </c>
      <c r="S3730">
        <f>IMAGE("https://mitra.stanford.edu/kundaje/oak/projects/neuro-variants/variant_position/credible/roussos_2024/variant_figures/roussos_2024.adolescence.Astrocyte/rs13231757_count_position.png",4,220,900)</f>
        <v/>
      </c>
      <c r="T3730">
        <f>IMAGE("https://mitra.stanford.edu/kundaje/oak/projects/neuro-variants/variant_position/credible/roussos_2024/variant_figures/roussos_2024.adolescence.Astrocyte/rs13231757_profile_position.png",4,220,900)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-0.0038341513</v>
      </c>
      <c r="G3731" t="n">
        <v>0.8324688990810647</v>
      </c>
      <c r="H3731" t="n">
        <v>0.0167005008733839</v>
      </c>
      <c r="I3731" t="n">
        <v>0.2422277354854762</v>
      </c>
      <c r="J3731" t="n">
        <v>0.0075163931994183</v>
      </c>
      <c r="K3731" t="n">
        <v>0.7153770310638766</v>
      </c>
      <c r="L3731" t="b">
        <v>0</v>
      </c>
      <c r="M3731" t="b">
        <v>0</v>
      </c>
      <c r="N3731" t="inlineStr">
        <is>
          <t>ref</t>
        </is>
      </c>
      <c r="O3731" t="n">
        <v>100</v>
      </c>
      <c r="P3731" t="n">
        <v>0.018</v>
      </c>
      <c r="Q3731" t="n">
        <v>-100</v>
      </c>
      <c r="R3731" t="n">
        <v>0.1531</v>
      </c>
      <c r="S3731">
        <f>IMAGE("https://mitra.stanford.edu/kundaje/oak/projects/neuro-variants/variant_position/credible/roussos_2024/variant_figures/roussos_2024.adolescence.Astrocyte/rs117773249_count_position.png",4,220,900)</f>
        <v/>
      </c>
      <c r="T3731">
        <f>IMAGE("https://mitra.stanford.edu/kundaje/oak/projects/neuro-variants/variant_position/credible/roussos_2024/variant_figures/roussos_2024.adolescence.Astrocyte/rs117773249_profile_position.png",4,220,900)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-0.0104402122</v>
      </c>
      <c r="G3732" t="n">
        <v>0.353897729346087</v>
      </c>
      <c r="H3732" t="n">
        <v>0.0174638205557257</v>
      </c>
      <c r="I3732" t="n">
        <v>0.2088048698160719</v>
      </c>
      <c r="J3732" t="n">
        <v>0.0042533305640446</v>
      </c>
      <c r="K3732" t="n">
        <v>0.7522350636910574</v>
      </c>
      <c r="L3732" t="b">
        <v>0</v>
      </c>
      <c r="M3732" t="b">
        <v>0</v>
      </c>
      <c r="N3732" t="inlineStr">
        <is>
          <t>ref</t>
        </is>
      </c>
      <c r="O3732" t="n">
        <v>35</v>
      </c>
      <c r="P3732" t="n">
        <v>0.00461</v>
      </c>
      <c r="Q3732" t="n">
        <v>100</v>
      </c>
      <c r="R3732" t="n">
        <v>0.382</v>
      </c>
      <c r="S3732">
        <f>IMAGE("https://mitra.stanford.edu/kundaje/oak/projects/neuro-variants/variant_position/credible/roussos_2024/variant_figures/roussos_2024.adolescence.Astrocyte/rs1858923_count_position.png",4,220,900)</f>
        <v/>
      </c>
      <c r="T3732">
        <f>IMAGE("https://mitra.stanford.edu/kundaje/oak/projects/neuro-variants/variant_position/credible/roussos_2024/variant_figures/roussos_2024.adolescence.Astrocyte/rs1858923_profile_position.png",4,220,900)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0.0608085722</v>
      </c>
      <c r="G3733" t="n">
        <v>0.1763770336451775</v>
      </c>
      <c r="H3733" t="n">
        <v>0.0125082938767141</v>
      </c>
      <c r="I3733" t="n">
        <v>0.5066982315184846</v>
      </c>
      <c r="J3733" t="n">
        <v>0.0723429665014983</v>
      </c>
      <c r="K3733" t="n">
        <v>0.3793261216815271</v>
      </c>
      <c r="L3733" t="b">
        <v>0</v>
      </c>
      <c r="M3733" t="b">
        <v>0</v>
      </c>
      <c r="N3733" t="inlineStr">
        <is>
          <t>alt</t>
        </is>
      </c>
      <c r="O3733" t="n">
        <v>-75</v>
      </c>
      <c r="P3733" t="n">
        <v>7.63e-05</v>
      </c>
      <c r="Q3733" t="n">
        <v>100</v>
      </c>
      <c r="R3733" t="n">
        <v>0.2092</v>
      </c>
      <c r="S3733">
        <f>IMAGE("https://mitra.stanford.edu/kundaje/oak/projects/neuro-variants/variant_position/credible/roussos_2024/variant_figures/roussos_2024.adolescence.Astrocyte/rs28656907_count_position.png",4,220,900)</f>
        <v/>
      </c>
      <c r="T3733">
        <f>IMAGE("https://mitra.stanford.edu/kundaje/oak/projects/neuro-variants/variant_position/credible/roussos_2024/variant_figures/roussos_2024.adolescence.Astrocyte/rs28656907_profile_position.png",4,220,900)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-0.0172647418</v>
      </c>
      <c r="G3734" t="n">
        <v>0.5298184889951574</v>
      </c>
      <c r="H3734" t="n">
        <v>0.0105024380195449</v>
      </c>
      <c r="I3734" t="n">
        <v>0.7055544406154558</v>
      </c>
      <c r="J3734" t="n">
        <v>0.0003909147553629</v>
      </c>
      <c r="K3734" t="n">
        <v>0.9242605681025744</v>
      </c>
      <c r="L3734" t="b">
        <v>0</v>
      </c>
      <c r="M3734" t="b">
        <v>0</v>
      </c>
      <c r="N3734" t="inlineStr">
        <is>
          <t>ref</t>
        </is>
      </c>
      <c r="O3734" t="n">
        <v>-10</v>
      </c>
      <c r="P3734" t="n">
        <v>0.000656</v>
      </c>
      <c r="Q3734" t="n">
        <v>10</v>
      </c>
      <c r="R3734" t="n">
        <v>0.01605</v>
      </c>
      <c r="S3734">
        <f>IMAGE("https://mitra.stanford.edu/kundaje/oak/projects/neuro-variants/variant_position/credible/roussos_2024/variant_figures/roussos_2024.adolescence.Astrocyte/rs12704370_count_position.png",4,220,900)</f>
        <v/>
      </c>
      <c r="T3734">
        <f>IMAGE("https://mitra.stanford.edu/kundaje/oak/projects/neuro-variants/variant_position/credible/roussos_2024/variant_figures/roussos_2024.adolescence.Astrocyte/rs12704370_profile_position.png",4,220,900)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0.01129534814</v>
      </c>
      <c r="G3735" t="n">
        <v>0.681861358627884</v>
      </c>
      <c r="H3735" t="n">
        <v>0.0263599715095696</v>
      </c>
      <c r="I3735" t="n">
        <v>0.0524019421555529</v>
      </c>
      <c r="J3735" t="n">
        <v>0.0243850695783757</v>
      </c>
      <c r="K3735" t="n">
        <v>0.5424031356137796</v>
      </c>
      <c r="L3735" t="b">
        <v>0</v>
      </c>
      <c r="M3735" t="b">
        <v>0</v>
      </c>
      <c r="N3735" t="inlineStr">
        <is>
          <t>alt</t>
        </is>
      </c>
      <c r="O3735" t="n">
        <v>85</v>
      </c>
      <c r="P3735" t="n">
        <v>0.0857</v>
      </c>
      <c r="Q3735" t="n">
        <v>95</v>
      </c>
      <c r="R3735" t="n">
        <v>0.0949</v>
      </c>
      <c r="S3735">
        <f>IMAGE("https://mitra.stanford.edu/kundaje/oak/projects/neuro-variants/variant_position/credible/roussos_2024/variant_figures/roussos_2024.adolescence.Astrocyte/rs77491588_count_position.png",4,220,900)</f>
        <v/>
      </c>
      <c r="T3735">
        <f>IMAGE("https://mitra.stanford.edu/kundaje/oak/projects/neuro-variants/variant_position/credible/roussos_2024/variant_figures/roussos_2024.adolescence.Astrocyte/rs77491588_profile_position.png",4,220,900)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0.0072533146</v>
      </c>
      <c r="G3736" t="n">
        <v>0.3700089015517731</v>
      </c>
      <c r="H3736" t="n">
        <v>0.03474054454274</v>
      </c>
      <c r="I3736" t="n">
        <v>0.0172332890712339</v>
      </c>
      <c r="J3736" t="n">
        <v>0.0035805417915318</v>
      </c>
      <c r="K3736" t="n">
        <v>0.7729648692295982</v>
      </c>
      <c r="L3736" t="b">
        <v>0</v>
      </c>
      <c r="M3736" t="b">
        <v>0</v>
      </c>
      <c r="N3736" t="inlineStr">
        <is>
          <t>alt</t>
        </is>
      </c>
      <c r="O3736" t="n">
        <v>-10</v>
      </c>
      <c r="P3736" t="n">
        <v>0.000534</v>
      </c>
      <c r="Q3736" t="n">
        <v>85</v>
      </c>
      <c r="R3736" t="n">
        <v>0.1294</v>
      </c>
      <c r="S3736">
        <f>IMAGE("https://mitra.stanford.edu/kundaje/oak/projects/neuro-variants/variant_position/credible/roussos_2024/variant_figures/roussos_2024.adolescence.Astrocyte/rs79065506_count_position.png",4,220,900)</f>
        <v/>
      </c>
      <c r="T3736">
        <f>IMAGE("https://mitra.stanford.edu/kundaje/oak/projects/neuro-variants/variant_position/credible/roussos_2024/variant_figures/roussos_2024.adolescence.Astrocyte/rs79065506_profile_position.png",4,220,900)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-0.00465576558</v>
      </c>
      <c r="G3737" t="n">
        <v>0.4345994683136772</v>
      </c>
      <c r="H3737" t="n">
        <v>0.0387710203849501</v>
      </c>
      <c r="I3737" t="n">
        <v>0.0108832710036197</v>
      </c>
      <c r="J3737" t="n">
        <v>0.0032667715040203</v>
      </c>
      <c r="K3737" t="n">
        <v>0.7838453645891267</v>
      </c>
      <c r="L3737" t="b">
        <v>0</v>
      </c>
      <c r="M3737" t="b">
        <v>0</v>
      </c>
      <c r="N3737" t="inlineStr">
        <is>
          <t>ref</t>
        </is>
      </c>
      <c r="O3737" t="n">
        <v>-20</v>
      </c>
      <c r="P3737" t="n">
        <v>0.001179</v>
      </c>
      <c r="Q3737" t="n">
        <v>75</v>
      </c>
      <c r="R3737" t="n">
        <v>0.1265</v>
      </c>
      <c r="S3737">
        <f>IMAGE("https://mitra.stanford.edu/kundaje/oak/projects/neuro-variants/variant_position/credible/roussos_2024/variant_figures/roussos_2024.adolescence.Astrocyte/rs78742611_count_position.png",4,220,900)</f>
        <v/>
      </c>
      <c r="T3737">
        <f>IMAGE("https://mitra.stanford.edu/kundaje/oak/projects/neuro-variants/variant_position/credible/roussos_2024/variant_figures/roussos_2024.adolescence.Astrocyte/rs78742611_profile_position.png",4,220,900)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-0.00306523714</v>
      </c>
      <c r="G3738" t="n">
        <v>0.926220202245049</v>
      </c>
      <c r="H3738" t="n">
        <v>0.0379632828035439</v>
      </c>
      <c r="I3738" t="n">
        <v>0.0121189555578425</v>
      </c>
      <c r="J3738" t="n">
        <v>6.898495682876896e-05</v>
      </c>
      <c r="K3738" t="n">
        <v>0.9856210509085038</v>
      </c>
      <c r="L3738" t="b">
        <v>0</v>
      </c>
      <c r="M3738" t="b">
        <v>0</v>
      </c>
      <c r="N3738" t="inlineStr">
        <is>
          <t>ref</t>
        </is>
      </c>
      <c r="O3738" t="n">
        <v>90</v>
      </c>
      <c r="P3738" t="n">
        <v>0.006714</v>
      </c>
      <c r="Q3738" t="n">
        <v>0</v>
      </c>
      <c r="R3738" t="n">
        <v>0</v>
      </c>
      <c r="S3738">
        <f>IMAGE("https://mitra.stanford.edu/kundaje/oak/projects/neuro-variants/variant_position/credible/roussos_2024/variant_figures/roussos_2024.adolescence.Astrocyte/rs6979891_count_position.png",4,220,900)</f>
        <v/>
      </c>
      <c r="T3738">
        <f>IMAGE("https://mitra.stanford.edu/kundaje/oak/projects/neuro-variants/variant_position/credible/roussos_2024/variant_figures/roussos_2024.adolescence.Astrocyte/rs6979891_profile_position.png",4,220,900)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0.009488763807999999</v>
      </c>
      <c r="G3739" t="n">
        <v>0.7364261943415115</v>
      </c>
      <c r="H3739" t="n">
        <v>0.0188325297181183</v>
      </c>
      <c r="I3739" t="n">
        <v>0.1659563433296962</v>
      </c>
      <c r="J3739" t="n">
        <v>0.0008849360591044</v>
      </c>
      <c r="K3739" t="n">
        <v>0.8792763977271668</v>
      </c>
      <c r="L3739" t="b">
        <v>0</v>
      </c>
      <c r="M3739" t="b">
        <v>0</v>
      </c>
      <c r="N3739" t="inlineStr">
        <is>
          <t>alt</t>
        </is>
      </c>
      <c r="O3739" t="n">
        <v>-40</v>
      </c>
      <c r="P3739" t="n">
        <v>0.003357</v>
      </c>
      <c r="Q3739" t="n">
        <v>70</v>
      </c>
      <c r="R3739" t="n">
        <v>0.06158</v>
      </c>
      <c r="S3739">
        <f>IMAGE("https://mitra.stanford.edu/kundaje/oak/projects/neuro-variants/variant_position/credible/roussos_2024/variant_figures/roussos_2024.adolescence.Astrocyte/rs883176_count_position.png",4,220,900)</f>
        <v/>
      </c>
      <c r="T3739">
        <f>IMAGE("https://mitra.stanford.edu/kundaje/oak/projects/neuro-variants/variant_position/credible/roussos_2024/variant_figures/roussos_2024.adolescence.Astrocyte/rs883176_profile_position.png",4,220,900)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0.01530917906</v>
      </c>
      <c r="G3740" t="n">
        <v>0.6333799843854104</v>
      </c>
      <c r="H3740" t="n">
        <v>0.029804562968654</v>
      </c>
      <c r="I3740" t="n">
        <v>0.032251591933603</v>
      </c>
      <c r="J3740" t="n">
        <v>0.0230558110553956</v>
      </c>
      <c r="K3740" t="n">
        <v>0.5560754583090672</v>
      </c>
      <c r="L3740" t="b">
        <v>0</v>
      </c>
      <c r="M3740" t="b">
        <v>0</v>
      </c>
      <c r="N3740" t="inlineStr">
        <is>
          <t>alt</t>
        </is>
      </c>
      <c r="O3740" t="n">
        <v>30</v>
      </c>
      <c r="P3740" t="n">
        <v>0.00319</v>
      </c>
      <c r="Q3740" t="n">
        <v>5</v>
      </c>
      <c r="R3740" t="n">
        <v>0.0007324</v>
      </c>
      <c r="S3740">
        <f>IMAGE("https://mitra.stanford.edu/kundaje/oak/projects/neuro-variants/variant_position/credible/roussos_2024/variant_figures/roussos_2024.adolescence.Astrocyte/rs17166402_count_position.png",4,220,900)</f>
        <v/>
      </c>
      <c r="T3740">
        <f>IMAGE("https://mitra.stanford.edu/kundaje/oak/projects/neuro-variants/variant_position/credible/roussos_2024/variant_figures/roussos_2024.adolescence.Astrocyte/rs17166402_profile_position.png",4,220,900)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0.02211406108</v>
      </c>
      <c r="G3741" t="n">
        <v>0.5103328575593946</v>
      </c>
      <c r="H3741" t="n">
        <v>0.0221134366982112</v>
      </c>
      <c r="I3741" t="n">
        <v>0.09744990568610951</v>
      </c>
      <c r="J3741" t="n">
        <v>0.0233258166928759</v>
      </c>
      <c r="K3741" t="n">
        <v>0.5540913691407408</v>
      </c>
      <c r="L3741" t="b">
        <v>0</v>
      </c>
      <c r="M3741" t="b">
        <v>0</v>
      </c>
      <c r="N3741" t="inlineStr">
        <is>
          <t>alt</t>
        </is>
      </c>
      <c r="O3741" t="n">
        <v>10</v>
      </c>
      <c r="P3741" t="n">
        <v>3.05e-05</v>
      </c>
      <c r="Q3741" t="n">
        <v>-20</v>
      </c>
      <c r="R3741" t="n">
        <v>0.07837</v>
      </c>
      <c r="S3741">
        <f>IMAGE("https://mitra.stanford.edu/kundaje/oak/projects/neuro-variants/variant_position/credible/roussos_2024/variant_figures/roussos_2024.adolescence.Astrocyte/rs17166404_count_position.png",4,220,900)</f>
        <v/>
      </c>
      <c r="T3741">
        <f>IMAGE("https://mitra.stanford.edu/kundaje/oak/projects/neuro-variants/variant_position/credible/roussos_2024/variant_figures/roussos_2024.adolescence.Astrocyte/rs17166404_profile_position.png",4,220,900)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0.0325298936</v>
      </c>
      <c r="G3742" t="n">
        <v>0.366051304092002</v>
      </c>
      <c r="H3742" t="n">
        <v>0.0178453827498818</v>
      </c>
      <c r="I3742" t="n">
        <v>0.1964342872223361</v>
      </c>
      <c r="J3742" t="n">
        <v>0.0279626442749903</v>
      </c>
      <c r="K3742" t="n">
        <v>0.5307562614819691</v>
      </c>
      <c r="L3742" t="b">
        <v>0</v>
      </c>
      <c r="M3742" t="b">
        <v>0</v>
      </c>
      <c r="N3742" t="inlineStr">
        <is>
          <t>alt</t>
        </is>
      </c>
      <c r="O3742" t="n">
        <v>80</v>
      </c>
      <c r="P3742" t="n">
        <v>0.01243</v>
      </c>
      <c r="Q3742" t="n">
        <v>100</v>
      </c>
      <c r="R3742" t="n">
        <v>0.2208</v>
      </c>
      <c r="S3742">
        <f>IMAGE("https://mitra.stanford.edu/kundaje/oak/projects/neuro-variants/variant_position/credible/roussos_2024/variant_figures/roussos_2024.adolescence.Astrocyte/rs17166406_count_position.png",4,220,900)</f>
        <v/>
      </c>
      <c r="T3742">
        <f>IMAGE("https://mitra.stanford.edu/kundaje/oak/projects/neuro-variants/variant_position/credible/roussos_2024/variant_figures/roussos_2024.adolescence.Astrocyte/rs17166406_profile_position.png",4,220,900)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0.1008524691999999</v>
      </c>
      <c r="G3743" t="n">
        <v>0.0828093864280381</v>
      </c>
      <c r="H3743" t="n">
        <v>0.0206242716234027</v>
      </c>
      <c r="I3743" t="n">
        <v>0.1243867498317653</v>
      </c>
      <c r="J3743" t="n">
        <v>0.0413004777022816</v>
      </c>
      <c r="K3743" t="n">
        <v>0.4710621837882845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0.02045</v>
      </c>
      <c r="Q3743" t="n">
        <v>80</v>
      </c>
      <c r="R3743" t="n">
        <v>0.0713</v>
      </c>
      <c r="S3743">
        <f>IMAGE("https://mitra.stanford.edu/kundaje/oak/projects/neuro-variants/variant_position/credible/roussos_2024/variant_figures/roussos_2024.adolescence.Astrocyte/rs13241095_count_position.png",4,220,900)</f>
        <v/>
      </c>
      <c r="T3743">
        <f>IMAGE("https://mitra.stanford.edu/kundaje/oak/projects/neuro-variants/variant_position/credible/roussos_2024/variant_figures/roussos_2024.adolescence.Astrocyte/rs13241095_profile_position.png",4,220,900)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0.0155614287</v>
      </c>
      <c r="G3744" t="n">
        <v>0.6037484451575501</v>
      </c>
      <c r="H3744" t="n">
        <v>0.0239941687000355</v>
      </c>
      <c r="I3744" t="n">
        <v>0.0728620933134318</v>
      </c>
      <c r="J3744" t="n">
        <v>0.0201198706346615</v>
      </c>
      <c r="K3744" t="n">
        <v>0.575012503618978</v>
      </c>
      <c r="L3744" t="b">
        <v>0</v>
      </c>
      <c r="M3744" t="b">
        <v>0</v>
      </c>
      <c r="N3744" t="inlineStr">
        <is>
          <t>alt</t>
        </is>
      </c>
      <c r="O3744" t="n">
        <v>-100</v>
      </c>
      <c r="P3744" t="n">
        <v>0.03613</v>
      </c>
      <c r="Q3744" t="n">
        <v>-55</v>
      </c>
      <c r="R3744" t="n">
        <v>0.05957</v>
      </c>
      <c r="S3744">
        <f>IMAGE("https://mitra.stanford.edu/kundaje/oak/projects/neuro-variants/variant_position/credible/roussos_2024/variant_figures/roussos_2024.adolescence.Astrocyte/rs13241489_count_position.png",4,220,900)</f>
        <v/>
      </c>
      <c r="T3744">
        <f>IMAGE("https://mitra.stanford.edu/kundaje/oak/projects/neuro-variants/variant_position/credible/roussos_2024/variant_figures/roussos_2024.adolescence.Astrocyte/rs13241489_profile_position.png",4,220,900)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-0.0040532465599999</v>
      </c>
      <c r="G3745" t="n">
        <v>0.714935180099003</v>
      </c>
      <c r="H3745" t="n">
        <v>0.0124762240584149</v>
      </c>
      <c r="I3745" t="n">
        <v>0.5102003403526467</v>
      </c>
      <c r="J3745" t="n">
        <v>0.0050670563451324</v>
      </c>
      <c r="K3745" t="n">
        <v>0.7429328453338572</v>
      </c>
      <c r="L3745" t="b">
        <v>0</v>
      </c>
      <c r="M3745" t="b">
        <v>0</v>
      </c>
      <c r="N3745" t="inlineStr">
        <is>
          <t>ref</t>
        </is>
      </c>
      <c r="O3745" t="n">
        <v>-85</v>
      </c>
      <c r="P3745" t="n">
        <v>0.002678</v>
      </c>
      <c r="Q3745" t="n">
        <v>-85</v>
      </c>
      <c r="R3745" t="n">
        <v>0.02444</v>
      </c>
      <c r="S3745">
        <f>IMAGE("https://mitra.stanford.edu/kundaje/oak/projects/neuro-variants/variant_position/credible/roussos_2024/variant_figures/roussos_2024.adolescence.Astrocyte/rs13307062_count_position.png",4,220,900)</f>
        <v/>
      </c>
      <c r="T3745">
        <f>IMAGE("https://mitra.stanford.edu/kundaje/oak/projects/neuro-variants/variant_position/credible/roussos_2024/variant_figures/roussos_2024.adolescence.Astrocyte/rs13307062_profile_position.png",4,220,900)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0.0463738628</v>
      </c>
      <c r="G3746" t="n">
        <v>0.2521587388679361</v>
      </c>
      <c r="H3746" t="n">
        <v>0.0116035867122838</v>
      </c>
      <c r="I3746" t="n">
        <v>0.5942608540393394</v>
      </c>
      <c r="J3746" t="n">
        <v>0.0016096489926712</v>
      </c>
      <c r="K3746" t="n">
        <v>0.8448594284896139</v>
      </c>
      <c r="L3746" t="b">
        <v>0</v>
      </c>
      <c r="M3746" t="b">
        <v>0</v>
      </c>
      <c r="N3746" t="inlineStr">
        <is>
          <t>alt</t>
        </is>
      </c>
      <c r="O3746" t="n">
        <v>-70</v>
      </c>
      <c r="P3746" t="n">
        <v>0.01487</v>
      </c>
      <c r="Q3746" t="n">
        <v>-100</v>
      </c>
      <c r="R3746" t="n">
        <v>0.09080000000000001</v>
      </c>
      <c r="S3746">
        <f>IMAGE("https://mitra.stanford.edu/kundaje/oak/projects/neuro-variants/variant_position/credible/roussos_2024/variant_figures/roussos_2024.adolescence.Astrocyte/rs34376444_count_position.png",4,220,900)</f>
        <v/>
      </c>
      <c r="T3746">
        <f>IMAGE("https://mitra.stanford.edu/kundaje/oak/projects/neuro-variants/variant_position/credible/roussos_2024/variant_figures/roussos_2024.adolescence.Astrocyte/rs34376444_profile_position.png",4,220,900)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-0.07666014660000001</v>
      </c>
      <c r="G3747" t="n">
        <v>0.1255234169641095</v>
      </c>
      <c r="H3747" t="n">
        <v>0.0142382749282988</v>
      </c>
      <c r="I3747" t="n">
        <v>0.3696454581721184</v>
      </c>
      <c r="J3747" t="n">
        <v>0.2649697356318428</v>
      </c>
      <c r="K3747" t="n">
        <v>0.156815751876736</v>
      </c>
      <c r="L3747" t="b">
        <v>0</v>
      </c>
      <c r="M3747" t="b">
        <v>0</v>
      </c>
      <c r="N3747" t="inlineStr">
        <is>
          <t>ref</t>
        </is>
      </c>
      <c r="O3747" t="n">
        <v>-95</v>
      </c>
      <c r="P3747" t="n">
        <v>0.01112</v>
      </c>
      <c r="Q3747" t="n">
        <v>80</v>
      </c>
      <c r="R3747" t="n">
        <v>0.3198</v>
      </c>
      <c r="S3747">
        <f>IMAGE("https://mitra.stanford.edu/kundaje/oak/projects/neuro-variants/variant_position/credible/roussos_2024/variant_figures/roussos_2024.adolescence.Astrocyte/rs34578239_count_position.png",4,220,900)</f>
        <v/>
      </c>
      <c r="T3747">
        <f>IMAGE("https://mitra.stanford.edu/kundaje/oak/projects/neuro-variants/variant_position/credible/roussos_2024/variant_figures/roussos_2024.adolescence.Astrocyte/rs34578239_profile_position.png",4,220,900)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0.0421785006</v>
      </c>
      <c r="G3748" t="n">
        <v>0.2802718702218286</v>
      </c>
      <c r="H3748" t="n">
        <v>0.0126216523619253</v>
      </c>
      <c r="I3748" t="n">
        <v>0.4615908237250815</v>
      </c>
      <c r="J3748" t="n">
        <v>0.0602119989318457</v>
      </c>
      <c r="K3748" t="n">
        <v>0.4250777681415251</v>
      </c>
      <c r="L3748" t="b">
        <v>0</v>
      </c>
      <c r="M3748" t="b">
        <v>0</v>
      </c>
      <c r="N3748" t="inlineStr">
        <is>
          <t>alt</t>
        </is>
      </c>
      <c r="O3748" t="n">
        <v>100</v>
      </c>
      <c r="P3748" t="n">
        <v>0.01317</v>
      </c>
      <c r="Q3748" t="n">
        <v>-95</v>
      </c>
      <c r="R3748" t="n">
        <v>0.06726</v>
      </c>
      <c r="S3748">
        <f>IMAGE("https://mitra.stanford.edu/kundaje/oak/projects/neuro-variants/variant_position/credible/roussos_2024/variant_figures/roussos_2024.adolescence.Astrocyte/rs221786_count_position.png",4,220,900)</f>
        <v/>
      </c>
      <c r="T3748">
        <f>IMAGE("https://mitra.stanford.edu/kundaje/oak/projects/neuro-variants/variant_position/credible/roussos_2024/variant_figures/roussos_2024.adolescence.Astrocyte/rs221786_profile_position.png",4,220,900)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0.1195741219999999</v>
      </c>
      <c r="G3749" t="n">
        <v>0.060488417513255</v>
      </c>
      <c r="H3749" t="n">
        <v>0.0152945528742696</v>
      </c>
      <c r="I3749" t="n">
        <v>0.3115146389692114</v>
      </c>
      <c r="J3749" t="n">
        <v>0.6149415482301279</v>
      </c>
      <c r="K3749" t="n">
        <v>0.0299413658581023</v>
      </c>
      <c r="L3749" t="b">
        <v>0</v>
      </c>
      <c r="M3749" t="b">
        <v>0</v>
      </c>
      <c r="N3749" t="inlineStr">
        <is>
          <t>alt</t>
        </is>
      </c>
      <c r="O3749" t="n">
        <v>90</v>
      </c>
      <c r="P3749" t="n">
        <v>0.01107</v>
      </c>
      <c r="Q3749" t="n">
        <v>55</v>
      </c>
      <c r="R3749" t="n">
        <v>0.08840000000000001</v>
      </c>
      <c r="S3749">
        <f>IMAGE("https://mitra.stanford.edu/kundaje/oak/projects/neuro-variants/variant_position/credible/roussos_2024/variant_figures/roussos_2024.adolescence.Astrocyte/rs221792_count_position.png",4,220,900)</f>
        <v/>
      </c>
      <c r="T3749">
        <f>IMAGE("https://mitra.stanford.edu/kundaje/oak/projects/neuro-variants/variant_position/credible/roussos_2024/variant_figures/roussos_2024.adolescence.Astrocyte/rs221792_profile_position.png",4,220,900)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0.0694746082</v>
      </c>
      <c r="G3750" t="n">
        <v>0.1470937186647962</v>
      </c>
      <c r="H3750" t="n">
        <v>0.0120207542663843</v>
      </c>
      <c r="I3750" t="n">
        <v>0.539768911327473</v>
      </c>
      <c r="J3750" t="n">
        <v>0.059276622259146</v>
      </c>
      <c r="K3750" t="n">
        <v>0.4119864542533911</v>
      </c>
      <c r="L3750" t="b">
        <v>0</v>
      </c>
      <c r="M3750" t="b">
        <v>0</v>
      </c>
      <c r="N3750" t="inlineStr">
        <is>
          <t>alt</t>
        </is>
      </c>
      <c r="O3750" t="n">
        <v>-100</v>
      </c>
      <c r="P3750" t="n">
        <v>0.002209</v>
      </c>
      <c r="Q3750" t="n">
        <v>100</v>
      </c>
      <c r="R3750" t="n">
        <v>0.1295</v>
      </c>
      <c r="S3750">
        <f>IMAGE("https://mitra.stanford.edu/kundaje/oak/projects/neuro-variants/variant_position/credible/roussos_2024/variant_figures/roussos_2024.adolescence.Astrocyte/rs314370_count_position.png",4,220,900)</f>
        <v/>
      </c>
      <c r="T3750">
        <f>IMAGE("https://mitra.stanford.edu/kundaje/oak/projects/neuro-variants/variant_position/credible/roussos_2024/variant_figures/roussos_2024.adolescence.Astrocyte/rs314370_profile_position.png",4,220,900)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-0.00631392112</v>
      </c>
      <c r="G3751" t="n">
        <v>0.8198231210062136</v>
      </c>
      <c r="H3751" t="n">
        <v>0.0091812638309288</v>
      </c>
      <c r="I3751" t="n">
        <v>0.8444297717207602</v>
      </c>
      <c r="J3751" t="n">
        <v>0.0921794795715514</v>
      </c>
      <c r="K3751" t="n">
        <v>0.3412612723722402</v>
      </c>
      <c r="L3751" t="b">
        <v>0</v>
      </c>
      <c r="M3751" t="b">
        <v>0</v>
      </c>
      <c r="N3751" t="inlineStr">
        <is>
          <t>ref</t>
        </is>
      </c>
      <c r="O3751" t="n">
        <v>-60</v>
      </c>
      <c r="P3751" t="n">
        <v>0.004948</v>
      </c>
      <c r="Q3751" t="n">
        <v>100</v>
      </c>
      <c r="R3751" t="n">
        <v>0.1</v>
      </c>
      <c r="S3751">
        <f>IMAGE("https://mitra.stanford.edu/kundaje/oak/projects/neuro-variants/variant_position/credible/roussos_2024/variant_figures/roussos_2024.adolescence.Astrocyte/rs12705090_count_position.png",4,220,900)</f>
        <v/>
      </c>
      <c r="T3751">
        <f>IMAGE("https://mitra.stanford.edu/kundaje/oak/projects/neuro-variants/variant_position/credible/roussos_2024/variant_figures/roussos_2024.adolescence.Astrocyte/rs12705090_profile_position.png",4,220,900)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0.091620601</v>
      </c>
      <c r="G3752" t="n">
        <v>0.0879084955284873</v>
      </c>
      <c r="H3752" t="n">
        <v>0.0122799808955934</v>
      </c>
      <c r="I3752" t="n">
        <v>0.5257856405720489</v>
      </c>
      <c r="J3752" t="n">
        <v>0.0233406521674628</v>
      </c>
      <c r="K3752" t="n">
        <v>0.5496558959436927</v>
      </c>
      <c r="L3752" t="b">
        <v>0</v>
      </c>
      <c r="M3752" t="b">
        <v>0</v>
      </c>
      <c r="N3752" t="inlineStr">
        <is>
          <t>alt</t>
        </is>
      </c>
      <c r="O3752" t="n">
        <v>50</v>
      </c>
      <c r="P3752" t="n">
        <v>0.002281</v>
      </c>
      <c r="Q3752" t="n">
        <v>-100</v>
      </c>
      <c r="R3752" t="n">
        <v>0.1367</v>
      </c>
      <c r="S3752">
        <f>IMAGE("https://mitra.stanford.edu/kundaje/oak/projects/neuro-variants/variant_position/credible/roussos_2024/variant_figures/roussos_2024.adolescence.Astrocyte/rs12667888_count_position.png",4,220,900)</f>
        <v/>
      </c>
      <c r="T3752">
        <f>IMAGE("https://mitra.stanford.edu/kundaje/oak/projects/neuro-variants/variant_position/credible/roussos_2024/variant_figures/roussos_2024.adolescence.Astrocyte/rs12667888_profile_position.png",4,220,900)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-0.119180658</v>
      </c>
      <c r="G3753" t="n">
        <v>0.0605651943741665</v>
      </c>
      <c r="H3753" t="n">
        <v>0.0618265847659287</v>
      </c>
      <c r="I3753" t="n">
        <v>0.0017247043719168</v>
      </c>
      <c r="J3753" t="n">
        <v>0.3640373260540605</v>
      </c>
      <c r="K3753" t="n">
        <v>0.1029642493935381</v>
      </c>
      <c r="L3753" t="b">
        <v>1</v>
      </c>
      <c r="M3753" t="b">
        <v>1</v>
      </c>
      <c r="N3753" t="inlineStr">
        <is>
          <t>ref</t>
        </is>
      </c>
      <c r="O3753" t="n">
        <v>0</v>
      </c>
      <c r="P3753" t="n">
        <v>0</v>
      </c>
      <c r="Q3753" t="n">
        <v>100</v>
      </c>
      <c r="R3753" t="n">
        <v>0.01697</v>
      </c>
      <c r="S3753">
        <f>IMAGE("https://mitra.stanford.edu/kundaje/oak/projects/neuro-variants/variant_position/credible/roussos_2024/variant_figures/roussos_2024.adolescence.Astrocyte/rs12705093_count_position.png",4,220,900)</f>
        <v/>
      </c>
      <c r="T3753">
        <f>IMAGE("https://mitra.stanford.edu/kundaje/oak/projects/neuro-variants/variant_position/credible/roussos_2024/variant_figures/roussos_2024.adolescence.Astrocyte/rs12705093_profile_position.png",4,220,900)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-0.0513276838</v>
      </c>
      <c r="G3754" t="n">
        <v>0.2500306658957958</v>
      </c>
      <c r="H3754" t="n">
        <v>0.0194423154899383</v>
      </c>
      <c r="I3754" t="n">
        <v>0.1618335948445082</v>
      </c>
      <c r="J3754" t="n">
        <v>0.9005822923775332</v>
      </c>
      <c r="K3754" t="n">
        <v>0.0015564687153193</v>
      </c>
      <c r="L3754" t="b">
        <v>0</v>
      </c>
      <c r="M3754" t="b">
        <v>0</v>
      </c>
      <c r="N3754" t="inlineStr">
        <is>
          <t>ref</t>
        </is>
      </c>
      <c r="O3754" t="n">
        <v>-95</v>
      </c>
      <c r="P3754" t="n">
        <v>0.03284</v>
      </c>
      <c r="Q3754" t="n">
        <v>-80</v>
      </c>
      <c r="R3754" t="n">
        <v>0.1549</v>
      </c>
      <c r="S3754">
        <f>IMAGE("https://mitra.stanford.edu/kundaje/oak/projects/neuro-variants/variant_position/credible/roussos_2024/variant_figures/roussos_2024.adolescence.Astrocyte/rs17884589_count_position.png",4,220,900)</f>
        <v/>
      </c>
      <c r="T3754">
        <f>IMAGE("https://mitra.stanford.edu/kundaje/oak/projects/neuro-variants/variant_position/credible/roussos_2024/variant_figures/roussos_2024.adolescence.Astrocyte/rs17884589_profile_position.png",4,220,900)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-0.0163770591339999</v>
      </c>
      <c r="G3755" t="n">
        <v>0.5620969633596893</v>
      </c>
      <c r="H3755" t="n">
        <v>0.0212737479621453</v>
      </c>
      <c r="I3755" t="n">
        <v>0.1169455218738706</v>
      </c>
      <c r="J3755" t="n">
        <v>0.8894371420941756</v>
      </c>
      <c r="K3755" t="n">
        <v>0.0022080169533187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0.04028</v>
      </c>
      <c r="Q3755" t="n">
        <v>-100</v>
      </c>
      <c r="R3755" t="n">
        <v>0.0974</v>
      </c>
      <c r="S3755">
        <f>IMAGE("https://mitra.stanford.edu/kundaje/oak/projects/neuro-variants/variant_position/credible/roussos_2024/variant_figures/roussos_2024.adolescence.Astrocyte/rs17883557_count_position.png",4,220,900)</f>
        <v/>
      </c>
      <c r="T3755">
        <f>IMAGE("https://mitra.stanford.edu/kundaje/oak/projects/neuro-variants/variant_position/credible/roussos_2024/variant_figures/roussos_2024.adolescence.Astrocyte/rs17883557_profile_position.png",4,220,900)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0.09838607244</v>
      </c>
      <c r="G3756" t="n">
        <v>0.08529186527882079</v>
      </c>
      <c r="H3756" t="n">
        <v>0.0135349887258313</v>
      </c>
      <c r="I3756" t="n">
        <v>0.4246286498080577</v>
      </c>
      <c r="J3756" t="n">
        <v>0.0748486781592142</v>
      </c>
      <c r="K3756" t="n">
        <v>0.3848905275711656</v>
      </c>
      <c r="L3756" t="b">
        <v>0</v>
      </c>
      <c r="M3756" t="b">
        <v>0</v>
      </c>
      <c r="N3756" t="inlineStr">
        <is>
          <t>alt</t>
        </is>
      </c>
      <c r="O3756" t="n">
        <v>80</v>
      </c>
      <c r="P3756" t="n">
        <v>0.09766</v>
      </c>
      <c r="Q3756" t="n">
        <v>90</v>
      </c>
      <c r="R3756" t="n">
        <v>0.1418</v>
      </c>
      <c r="S3756">
        <f>IMAGE("https://mitra.stanford.edu/kundaje/oak/projects/neuro-variants/variant_position/credible/roussos_2024/variant_figures/roussos_2024.adolescence.Astrocyte/rs10278546_count_position.png",4,220,900)</f>
        <v/>
      </c>
      <c r="T3756">
        <f>IMAGE("https://mitra.stanford.edu/kundaje/oak/projects/neuro-variants/variant_position/credible/roussos_2024/variant_figures/roussos_2024.adolescence.Astrocyte/rs10278546_profile_position.png",4,220,900)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-0.036658278</v>
      </c>
      <c r="G3757" t="n">
        <v>0.3708558332500486</v>
      </c>
      <c r="H3757" t="n">
        <v>0.0469868677540621</v>
      </c>
      <c r="I3757" t="n">
        <v>0.0049912715193018</v>
      </c>
      <c r="J3757" t="n">
        <v>0.0102231255377858</v>
      </c>
      <c r="K3757" t="n">
        <v>0.6545897805914123</v>
      </c>
      <c r="L3757" t="b">
        <v>1</v>
      </c>
      <c r="M3757" t="b">
        <v>0</v>
      </c>
      <c r="N3757" t="inlineStr">
        <is>
          <t>ref</t>
        </is>
      </c>
      <c r="O3757" t="n">
        <v>70</v>
      </c>
      <c r="P3757" t="n">
        <v>0.01387</v>
      </c>
      <c r="Q3757" t="n">
        <v>80</v>
      </c>
      <c r="R3757" t="n">
        <v>0.1858</v>
      </c>
      <c r="S3757">
        <f>IMAGE("https://mitra.stanford.edu/kundaje/oak/projects/neuro-variants/variant_position/credible/roussos_2024/variant_figures/roussos_2024.adolescence.Astrocyte/rs2252074_count_position.png",4,220,900)</f>
        <v/>
      </c>
      <c r="T3757">
        <f>IMAGE("https://mitra.stanford.edu/kundaje/oak/projects/neuro-variants/variant_position/credible/roussos_2024/variant_figures/roussos_2024.adolescence.Astrocyte/rs2252074_profile_position.png",4,220,900)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0.009724371187999899</v>
      </c>
      <c r="G3758" t="n">
        <v>0.7457841437179112</v>
      </c>
      <c r="H3758" t="n">
        <v>0.0274561375095761</v>
      </c>
      <c r="I3758" t="n">
        <v>0.0456790092411596</v>
      </c>
      <c r="J3758" t="n">
        <v>0.0066922825861198</v>
      </c>
      <c r="K3758" t="n">
        <v>0.7138417105872024</v>
      </c>
      <c r="L3758" t="b">
        <v>0</v>
      </c>
      <c r="M3758" t="b">
        <v>0</v>
      </c>
      <c r="N3758" t="inlineStr">
        <is>
          <t>alt</t>
        </is>
      </c>
      <c r="O3758" t="n">
        <v>-75</v>
      </c>
      <c r="P3758" t="n">
        <v>0.01611</v>
      </c>
      <c r="Q3758" t="n">
        <v>-30</v>
      </c>
      <c r="R3758" t="n">
        <v>0.05774</v>
      </c>
      <c r="S3758">
        <f>IMAGE("https://mitra.stanford.edu/kundaje/oak/projects/neuro-variants/variant_position/credible/roussos_2024/variant_figures/roussos_2024.adolescence.Astrocyte/rs4727614_count_position.png",4,220,900)</f>
        <v/>
      </c>
      <c r="T3758">
        <f>IMAGE("https://mitra.stanford.edu/kundaje/oak/projects/neuro-variants/variant_position/credible/roussos_2024/variant_figures/roussos_2024.adolescence.Astrocyte/rs4727614_profile_position.png",4,220,900)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-0.0292760122</v>
      </c>
      <c r="G3759" t="n">
        <v>0.4381032885253158</v>
      </c>
      <c r="H3759" t="n">
        <v>0.0134027826052396</v>
      </c>
      <c r="I3759" t="n">
        <v>0.4347155306284864</v>
      </c>
      <c r="J3759" t="n">
        <v>0.0085645194789781</v>
      </c>
      <c r="K3759" t="n">
        <v>0.6740737245562729</v>
      </c>
      <c r="L3759" t="b">
        <v>0</v>
      </c>
      <c r="M3759" t="b">
        <v>0</v>
      </c>
      <c r="N3759" t="inlineStr">
        <is>
          <t>ref</t>
        </is>
      </c>
      <c r="O3759" t="n">
        <v>35</v>
      </c>
      <c r="P3759" t="n">
        <v>0.01069</v>
      </c>
      <c r="Q3759" t="n">
        <v>35</v>
      </c>
      <c r="R3759" t="n">
        <v>0.05273</v>
      </c>
      <c r="S3759">
        <f>IMAGE("https://mitra.stanford.edu/kundaje/oak/projects/neuro-variants/variant_position/credible/roussos_2024/variant_figures/roussos_2024.adolescence.Astrocyte/rs7776707_count_position.png",4,220,900)</f>
        <v/>
      </c>
      <c r="T3759">
        <f>IMAGE("https://mitra.stanford.edu/kundaje/oak/projects/neuro-variants/variant_position/credible/roussos_2024/variant_figures/roussos_2024.adolescence.Astrocyte/rs7776707_profile_position.png",4,220,900)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-0.0187307496</v>
      </c>
      <c r="G3760" t="n">
        <v>0.3617431665458283</v>
      </c>
      <c r="H3760" t="n">
        <v>0.014986359040852</v>
      </c>
      <c r="I3760" t="n">
        <v>0.3226282979180543</v>
      </c>
      <c r="J3760" t="n">
        <v>0.9197252470106518</v>
      </c>
      <c r="K3760" t="n">
        <v>0.0009012556072854</v>
      </c>
      <c r="L3760" t="b">
        <v>0</v>
      </c>
      <c r="M3760" t="b">
        <v>0</v>
      </c>
      <c r="N3760" t="inlineStr">
        <is>
          <t>ref</t>
        </is>
      </c>
      <c r="O3760" t="n">
        <v>-100</v>
      </c>
      <c r="P3760" t="n">
        <v>0.03546</v>
      </c>
      <c r="Q3760" t="n">
        <v>-100</v>
      </c>
      <c r="R3760" t="n">
        <v>0.2158</v>
      </c>
      <c r="S3760">
        <f>IMAGE("https://mitra.stanford.edu/kundaje/oak/projects/neuro-variants/variant_position/credible/roussos_2024/variant_figures/roussos_2024.adolescence.Astrocyte/rs3823752_count_position.png",4,220,900)</f>
        <v/>
      </c>
      <c r="T3760">
        <f>IMAGE("https://mitra.stanford.edu/kundaje/oak/projects/neuro-variants/variant_position/credible/roussos_2024/variant_figures/roussos_2024.adolescence.Astrocyte/rs3823752_profile_position.png",4,220,900)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0.0423321639999999</v>
      </c>
      <c r="G3761" t="n">
        <v>0.2901098701697651</v>
      </c>
      <c r="H3761" t="n">
        <v>0.010782944943833</v>
      </c>
      <c r="I3761" t="n">
        <v>0.6761315680918256</v>
      </c>
      <c r="J3761" t="n">
        <v>0.0072048482330949</v>
      </c>
      <c r="K3761" t="n">
        <v>0.699494399014986</v>
      </c>
      <c r="L3761" t="b">
        <v>0</v>
      </c>
      <c r="M3761" t="b">
        <v>0</v>
      </c>
      <c r="N3761" t="inlineStr">
        <is>
          <t>alt</t>
        </is>
      </c>
      <c r="O3761" t="n">
        <v>20</v>
      </c>
      <c r="P3761" t="n">
        <v>0.002625</v>
      </c>
      <c r="Q3761" t="n">
        <v>60</v>
      </c>
      <c r="R3761" t="n">
        <v>0.1337</v>
      </c>
      <c r="S3761">
        <f>IMAGE("https://mitra.stanford.edu/kundaje/oak/projects/neuro-variants/variant_position/credible/roussos_2024/variant_figures/roussos_2024.adolescence.Astrocyte/rs11760317_count_position.png",4,220,900)</f>
        <v/>
      </c>
      <c r="T3761">
        <f>IMAGE("https://mitra.stanford.edu/kundaje/oak/projects/neuro-variants/variant_position/credible/roussos_2024/variant_figures/roussos_2024.adolescence.Astrocyte/rs11760317_profile_position.png",4,220,900)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-0.0015451091</v>
      </c>
      <c r="G3762" t="n">
        <v>0.5701231855154513</v>
      </c>
      <c r="H3762" t="n">
        <v>0.0135442113241158</v>
      </c>
      <c r="I3762" t="n">
        <v>0.4218095683677818</v>
      </c>
      <c r="J3762" t="n">
        <v>0.0607735216449573</v>
      </c>
      <c r="K3762" t="n">
        <v>0.4125107159305881</v>
      </c>
      <c r="L3762" t="b">
        <v>0</v>
      </c>
      <c r="M3762" t="b">
        <v>0</v>
      </c>
      <c r="N3762" t="inlineStr">
        <is>
          <t>ref</t>
        </is>
      </c>
      <c r="O3762" t="n">
        <v>30</v>
      </c>
      <c r="P3762" t="n">
        <v>0.05798</v>
      </c>
      <c r="Q3762" t="n">
        <v>30</v>
      </c>
      <c r="R3762" t="n">
        <v>0.0835</v>
      </c>
      <c r="S3762">
        <f>IMAGE("https://mitra.stanford.edu/kundaje/oak/projects/neuro-variants/variant_position/credible/roussos_2024/variant_figures/roussos_2024.adolescence.Astrocyte/rs10808141_count_position.png",4,220,900)</f>
        <v/>
      </c>
      <c r="T3762">
        <f>IMAGE("https://mitra.stanford.edu/kundaje/oak/projects/neuro-variants/variant_position/credible/roussos_2024/variant_figures/roussos_2024.adolescence.Astrocyte/rs10808141_profile_position.png",4,220,900)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0.02399358884</v>
      </c>
      <c r="G3763" t="n">
        <v>0.4835665846744297</v>
      </c>
      <c r="H3763" t="n">
        <v>0.0283742223117186</v>
      </c>
      <c r="I3763" t="n">
        <v>0.0387996744079144</v>
      </c>
      <c r="J3763" t="n">
        <v>0.0604501082989644</v>
      </c>
      <c r="K3763" t="n">
        <v>0.403351359195274</v>
      </c>
      <c r="L3763" t="b">
        <v>0</v>
      </c>
      <c r="M3763" t="b">
        <v>0</v>
      </c>
      <c r="N3763" t="inlineStr">
        <is>
          <t>alt</t>
        </is>
      </c>
      <c r="O3763" t="n">
        <v>45</v>
      </c>
      <c r="P3763" t="n">
        <v>0.002457</v>
      </c>
      <c r="Q3763" t="n">
        <v>100</v>
      </c>
      <c r="R3763" t="n">
        <v>0.1046</v>
      </c>
      <c r="S3763">
        <f>IMAGE("https://mitra.stanford.edu/kundaje/oak/projects/neuro-variants/variant_position/credible/roussos_2024/variant_figures/roussos_2024.adolescence.Astrocyte/rs10953468_count_position.png",4,220,900)</f>
        <v/>
      </c>
      <c r="T3763">
        <f>IMAGE("https://mitra.stanford.edu/kundaje/oak/projects/neuro-variants/variant_position/credible/roussos_2024/variant_figures/roussos_2024.adolescence.Astrocyte/rs10953468_profile_position.png",4,220,900)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0.020530809</v>
      </c>
      <c r="G3764" t="n">
        <v>0.5290733249098066</v>
      </c>
      <c r="H3764" t="n">
        <v>0.0196650364874071</v>
      </c>
      <c r="I3764" t="n">
        <v>0.1445095787673762</v>
      </c>
      <c r="J3764" t="n">
        <v>0.0203394356585466</v>
      </c>
      <c r="K3764" t="n">
        <v>0.5753951551410001</v>
      </c>
      <c r="L3764" t="b">
        <v>0</v>
      </c>
      <c r="M3764" t="b">
        <v>0</v>
      </c>
      <c r="N3764" t="inlineStr">
        <is>
          <t>alt</t>
        </is>
      </c>
      <c r="O3764" t="n">
        <v>-90</v>
      </c>
      <c r="P3764" t="n">
        <v>0.02016</v>
      </c>
      <c r="Q3764" t="n">
        <v>-100</v>
      </c>
      <c r="R3764" t="n">
        <v>0.04742</v>
      </c>
      <c r="S3764">
        <f>IMAGE("https://mitra.stanford.edu/kundaje/oak/projects/neuro-variants/variant_position/credible/roussos_2024/variant_figures/roussos_2024.adolescence.Astrocyte/rs6943183_count_position.png",4,220,900)</f>
        <v/>
      </c>
      <c r="T3764">
        <f>IMAGE("https://mitra.stanford.edu/kundaje/oak/projects/neuro-variants/variant_position/credible/roussos_2024/variant_figures/roussos_2024.adolescence.Astrocyte/rs6943183_profile_position.png",4,220,900)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-0.0214617216</v>
      </c>
      <c r="G3765" t="n">
        <v>0.523005187945907</v>
      </c>
      <c r="H3765" t="n">
        <v>0.0116368927262793</v>
      </c>
      <c r="I3765" t="n">
        <v>0.5892811693130577</v>
      </c>
      <c r="J3765" t="n">
        <v>0.0007395484081535</v>
      </c>
      <c r="K3765" t="n">
        <v>0.8996897651725899</v>
      </c>
      <c r="L3765" t="b">
        <v>0</v>
      </c>
      <c r="M3765" t="b">
        <v>0</v>
      </c>
      <c r="N3765" t="inlineStr">
        <is>
          <t>ref</t>
        </is>
      </c>
      <c r="O3765" t="n">
        <v>45</v>
      </c>
      <c r="P3765" t="n">
        <v>0.01889</v>
      </c>
      <c r="Q3765" t="n">
        <v>10</v>
      </c>
      <c r="R3765" t="n">
        <v>0.03476</v>
      </c>
      <c r="S3765">
        <f>IMAGE("https://mitra.stanford.edu/kundaje/oak/projects/neuro-variants/variant_position/credible/roussos_2024/variant_figures/roussos_2024.adolescence.Astrocyte/rs3779210_count_position.png",4,220,900)</f>
        <v/>
      </c>
      <c r="T3765">
        <f>IMAGE("https://mitra.stanford.edu/kundaje/oak/projects/neuro-variants/variant_position/credible/roussos_2024/variant_figures/roussos_2024.adolescence.Astrocyte/rs3779210_profile_position.png",4,220,900)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0.02319710384</v>
      </c>
      <c r="G3766" t="n">
        <v>0.4894733350728716</v>
      </c>
      <c r="H3766" t="n">
        <v>0.0169601797598092</v>
      </c>
      <c r="I3766" t="n">
        <v>0.2366142567325043</v>
      </c>
      <c r="J3766" t="n">
        <v>0.0271244399608343</v>
      </c>
      <c r="K3766" t="n">
        <v>0.5260256196530541</v>
      </c>
      <c r="L3766" t="b">
        <v>0</v>
      </c>
      <c r="M3766" t="b">
        <v>0</v>
      </c>
      <c r="N3766" t="inlineStr">
        <is>
          <t>alt</t>
        </is>
      </c>
      <c r="O3766" t="n">
        <v>90</v>
      </c>
      <c r="P3766" t="n">
        <v>0.00408</v>
      </c>
      <c r="Q3766" t="n">
        <v>20</v>
      </c>
      <c r="R3766" t="n">
        <v>0.04352</v>
      </c>
      <c r="S3766">
        <f>IMAGE("https://mitra.stanford.edu/kundaje/oak/projects/neuro-variants/variant_position/credible/roussos_2024/variant_figures/roussos_2024.adolescence.Astrocyte/rs10281886_count_position.png",4,220,900)</f>
        <v/>
      </c>
      <c r="T3766">
        <f>IMAGE("https://mitra.stanford.edu/kundaje/oak/projects/neuro-variants/variant_position/credible/roussos_2024/variant_figures/roussos_2024.adolescence.Astrocyte/rs10281886_profile_position.png",4,220,900)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-0.0074790917699999</v>
      </c>
      <c r="G3767" t="n">
        <v>0.7832620509194208</v>
      </c>
      <c r="H3767" t="n">
        <v>0.0217295414769466</v>
      </c>
      <c r="I3767" t="n">
        <v>0.1034503954866354</v>
      </c>
      <c r="J3767" t="n">
        <v>0.0768789128564222</v>
      </c>
      <c r="K3767" t="n">
        <v>0.3743240928766536</v>
      </c>
      <c r="L3767" t="b">
        <v>0</v>
      </c>
      <c r="M3767" t="b">
        <v>0</v>
      </c>
      <c r="N3767" t="inlineStr">
        <is>
          <t>ref</t>
        </is>
      </c>
      <c r="O3767" t="n">
        <v>100</v>
      </c>
      <c r="P3767" t="n">
        <v>0.00586</v>
      </c>
      <c r="Q3767" t="n">
        <v>-10</v>
      </c>
      <c r="R3767" t="n">
        <v>0.010254</v>
      </c>
      <c r="S3767">
        <f>IMAGE("https://mitra.stanford.edu/kundaje/oak/projects/neuro-variants/variant_position/credible/roussos_2024/variant_figures/roussos_2024.adolescence.Astrocyte/rs2240463_count_position.png",4,220,900)</f>
        <v/>
      </c>
      <c r="T3767">
        <f>IMAGE("https://mitra.stanford.edu/kundaje/oak/projects/neuro-variants/variant_position/credible/roussos_2024/variant_figures/roussos_2024.adolescence.Astrocyte/rs2240463_profile_position.png",4,220,900)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-0.0362346914</v>
      </c>
      <c r="G3768" t="n">
        <v>0.3497387044126436</v>
      </c>
      <c r="H3768" t="n">
        <v>0.0175525710665305</v>
      </c>
      <c r="I3768" t="n">
        <v>0.2142775795944777</v>
      </c>
      <c r="J3768" t="n">
        <v>0.1091742574844968</v>
      </c>
      <c r="K3768" t="n">
        <v>0.3108977492101774</v>
      </c>
      <c r="L3768" t="b">
        <v>0</v>
      </c>
      <c r="M3768" t="b">
        <v>0</v>
      </c>
      <c r="N3768" t="inlineStr">
        <is>
          <t>ref</t>
        </is>
      </c>
      <c r="O3768" t="n">
        <v>30</v>
      </c>
      <c r="P3768" t="n">
        <v>0.006805</v>
      </c>
      <c r="Q3768" t="n">
        <v>-85</v>
      </c>
      <c r="R3768" t="n">
        <v>0.02803</v>
      </c>
      <c r="S3768">
        <f>IMAGE("https://mitra.stanford.edu/kundaje/oak/projects/neuro-variants/variant_position/credible/roussos_2024/variant_figures/roussos_2024.adolescence.Astrocyte/rs10281422_count_position.png",4,220,900)</f>
        <v/>
      </c>
      <c r="T3768">
        <f>IMAGE("https://mitra.stanford.edu/kundaje/oak/projects/neuro-variants/variant_position/credible/roussos_2024/variant_figures/roussos_2024.adolescence.Astrocyte/rs10281422_profile_position.png",4,220,900)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0.0488673938</v>
      </c>
      <c r="G3769" t="n">
        <v>0.2949320773276753</v>
      </c>
      <c r="H3769" t="n">
        <v>0.0161159268207884</v>
      </c>
      <c r="I3769" t="n">
        <v>0.2697158910198042</v>
      </c>
      <c r="J3769" t="n">
        <v>0.1166439189389668</v>
      </c>
      <c r="K3769" t="n">
        <v>0.3001920911187952</v>
      </c>
      <c r="L3769" t="b">
        <v>0</v>
      </c>
      <c r="M3769" t="b">
        <v>0</v>
      </c>
      <c r="N3769" t="inlineStr">
        <is>
          <t>alt</t>
        </is>
      </c>
      <c r="O3769" t="n">
        <v>100</v>
      </c>
      <c r="P3769" t="n">
        <v>0.009209999999999999</v>
      </c>
      <c r="Q3769" t="n">
        <v>-20</v>
      </c>
      <c r="R3769" t="n">
        <v>0.04645</v>
      </c>
      <c r="S3769">
        <f>IMAGE("https://mitra.stanford.edu/kundaje/oak/projects/neuro-variants/variant_position/credible/roussos_2024/variant_figures/roussos_2024.adolescence.Astrocyte/rs41562_count_position.png",4,220,900)</f>
        <v/>
      </c>
      <c r="T3769">
        <f>IMAGE("https://mitra.stanford.edu/kundaje/oak/projects/neuro-variants/variant_position/credible/roussos_2024/variant_figures/roussos_2024.adolescence.Astrocyte/rs41562_profile_position.png",4,220,900)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-0.0015518001</v>
      </c>
      <c r="G3770" t="n">
        <v>0.762385267315392</v>
      </c>
      <c r="H3770" t="n">
        <v>0.0144126997095256</v>
      </c>
      <c r="I3770" t="n">
        <v>0.3584853293548796</v>
      </c>
      <c r="J3770" t="n">
        <v>0.0993331454173218</v>
      </c>
      <c r="K3770" t="n">
        <v>0.3311774033865269</v>
      </c>
      <c r="L3770" t="b">
        <v>0</v>
      </c>
      <c r="M3770" t="b">
        <v>0</v>
      </c>
      <c r="N3770" t="inlineStr">
        <is>
          <t>ref</t>
        </is>
      </c>
      <c r="O3770" t="n">
        <v>65</v>
      </c>
      <c r="P3770" t="n">
        <v>0.000572</v>
      </c>
      <c r="Q3770" t="n">
        <v>-100</v>
      </c>
      <c r="R3770" t="n">
        <v>0.06322999999999999</v>
      </c>
      <c r="S3770">
        <f>IMAGE("https://mitra.stanford.edu/kundaje/oak/projects/neuro-variants/variant_position/credible/roussos_2024/variant_figures/roussos_2024.adolescence.Astrocyte/rs2237613_count_position.png",4,220,900)</f>
        <v/>
      </c>
      <c r="T3770">
        <f>IMAGE("https://mitra.stanford.edu/kundaje/oak/projects/neuro-variants/variant_position/credible/roussos_2024/variant_figures/roussos_2024.adolescence.Astrocyte/rs2237613_profile_position.png",4,220,900)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0.0589949432</v>
      </c>
      <c r="G3771" t="n">
        <v>0.2011922093045554</v>
      </c>
      <c r="H3771" t="n">
        <v>0.0235894389414354</v>
      </c>
      <c r="I3771" t="n">
        <v>0.07895310343251551</v>
      </c>
      <c r="J3771" t="n">
        <v>0.0004064920036791</v>
      </c>
      <c r="K3771" t="n">
        <v>0.92726384296513</v>
      </c>
      <c r="L3771" t="b">
        <v>0</v>
      </c>
      <c r="M3771" t="b">
        <v>0</v>
      </c>
      <c r="N3771" t="inlineStr">
        <is>
          <t>alt</t>
        </is>
      </c>
      <c r="O3771" t="n">
        <v>-90</v>
      </c>
      <c r="P3771" t="n">
        <v>0.005806</v>
      </c>
      <c r="Q3771" t="n">
        <v>55</v>
      </c>
      <c r="R3771" t="n">
        <v>0.0536</v>
      </c>
      <c r="S3771">
        <f>IMAGE("https://mitra.stanford.edu/kundaje/oak/projects/neuro-variants/variant_position/credible/roussos_2024/variant_figures/roussos_2024.adolescence.Astrocyte/rs4730073_count_position.png",4,220,900)</f>
        <v/>
      </c>
      <c r="T3771">
        <f>IMAGE("https://mitra.stanford.edu/kundaje/oak/projects/neuro-variants/variant_position/credible/roussos_2024/variant_figures/roussos_2024.adolescence.Astrocyte/rs4730073_profile_position.png",4,220,900)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-0.064314225</v>
      </c>
      <c r="G3772" t="n">
        <v>0.1688624748988074</v>
      </c>
      <c r="H3772" t="n">
        <v>0.0159628782270479</v>
      </c>
      <c r="I3772" t="n">
        <v>0.2704703347998138</v>
      </c>
      <c r="J3772" t="n">
        <v>0.0017817404978784</v>
      </c>
      <c r="K3772" t="n">
        <v>0.8399044023022348</v>
      </c>
      <c r="L3772" t="b">
        <v>0</v>
      </c>
      <c r="M3772" t="b">
        <v>0</v>
      </c>
      <c r="N3772" t="inlineStr">
        <is>
          <t>ref</t>
        </is>
      </c>
      <c r="O3772" t="n">
        <v>35</v>
      </c>
      <c r="P3772" t="n">
        <v>0.00575</v>
      </c>
      <c r="Q3772" t="n">
        <v>-5</v>
      </c>
      <c r="R3772" t="n">
        <v>0.01794</v>
      </c>
      <c r="S3772">
        <f>IMAGE("https://mitra.stanford.edu/kundaje/oak/projects/neuro-variants/variant_position/credible/roussos_2024/variant_figures/roussos_2024.adolescence.Astrocyte/rs10953470_count_position.png",4,220,900)</f>
        <v/>
      </c>
      <c r="T3772">
        <f>IMAGE("https://mitra.stanford.edu/kundaje/oak/projects/neuro-variants/variant_position/credible/roussos_2024/variant_figures/roussos_2024.adolescence.Astrocyte/rs10953470_profile_position.png",4,220,900)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-0.01108911772</v>
      </c>
      <c r="G3773" t="n">
        <v>0.5523281739219508</v>
      </c>
      <c r="H3773" t="n">
        <v>0.0152980848198225</v>
      </c>
      <c r="I3773" t="n">
        <v>0.3069853045043831</v>
      </c>
      <c r="J3773" t="n">
        <v>0.0135655579621991</v>
      </c>
      <c r="K3773" t="n">
        <v>0.647649920244027</v>
      </c>
      <c r="L3773" t="b">
        <v>0</v>
      </c>
      <c r="M3773" t="b">
        <v>0</v>
      </c>
      <c r="N3773" t="inlineStr">
        <is>
          <t>ref</t>
        </is>
      </c>
      <c r="O3773" t="n">
        <v>-60</v>
      </c>
      <c r="P3773" t="n">
        <v>0.006805</v>
      </c>
      <c r="Q3773" t="n">
        <v>-60</v>
      </c>
      <c r="R3773" t="n">
        <v>0.11035</v>
      </c>
      <c r="S3773">
        <f>IMAGE("https://mitra.stanford.edu/kundaje/oak/projects/neuro-variants/variant_position/credible/roussos_2024/variant_figures/roussos_2024.adolescence.Astrocyte/rs3801282_count_position.png",4,220,900)</f>
        <v/>
      </c>
      <c r="T3773">
        <f>IMAGE("https://mitra.stanford.edu/kundaje/oak/projects/neuro-variants/variant_position/credible/roussos_2024/variant_figures/roussos_2024.adolescence.Astrocyte/rs3801282_profile_position.png",4,220,900)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-0.0216485764</v>
      </c>
      <c r="G3774" t="n">
        <v>0.5190216044869123</v>
      </c>
      <c r="H3774" t="n">
        <v>0.0090347382912694</v>
      </c>
      <c r="I3774" t="n">
        <v>0.8576974288483273</v>
      </c>
      <c r="J3774" t="n">
        <v>0.0023002403346882</v>
      </c>
      <c r="K3774" t="n">
        <v>0.820889387768943</v>
      </c>
      <c r="L3774" t="b">
        <v>0</v>
      </c>
      <c r="M3774" t="b">
        <v>0</v>
      </c>
      <c r="N3774" t="inlineStr">
        <is>
          <t>ref</t>
        </is>
      </c>
      <c r="O3774" t="n">
        <v>100</v>
      </c>
      <c r="P3774" t="n">
        <v>0.01389</v>
      </c>
      <c r="Q3774" t="n">
        <v>20</v>
      </c>
      <c r="R3774" t="n">
        <v>0.0328</v>
      </c>
      <c r="S3774">
        <f>IMAGE("https://mitra.stanford.edu/kundaje/oak/projects/neuro-variants/variant_position/credible/roussos_2024/variant_figures/roussos_2024.adolescence.Astrocyte/rs3801278_count_position.png",4,220,900)</f>
        <v/>
      </c>
      <c r="T3774">
        <f>IMAGE("https://mitra.stanford.edu/kundaje/oak/projects/neuro-variants/variant_position/credible/roussos_2024/variant_figures/roussos_2024.adolescence.Astrocyte/rs3801278_profile_position.png",4,220,900)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-0.01982597636</v>
      </c>
      <c r="G3775" t="n">
        <v>0.5619450079668595</v>
      </c>
      <c r="H3775" t="n">
        <v>0.0394687068704493</v>
      </c>
      <c r="I3775" t="n">
        <v>0.0103226520577729</v>
      </c>
      <c r="J3775" t="n">
        <v>0.0094984126042191</v>
      </c>
      <c r="K3775" t="n">
        <v>0.6652286901872989</v>
      </c>
      <c r="L3775" t="b">
        <v>0</v>
      </c>
      <c r="M3775" t="b">
        <v>0</v>
      </c>
      <c r="N3775" t="inlineStr">
        <is>
          <t>ref</t>
        </is>
      </c>
      <c r="O3775" t="n">
        <v>100</v>
      </c>
      <c r="P3775" t="n">
        <v>0.01436</v>
      </c>
      <c r="Q3775" t="n">
        <v>15</v>
      </c>
      <c r="R3775" t="n">
        <v>0.02151</v>
      </c>
      <c r="S3775">
        <f>IMAGE("https://mitra.stanford.edu/kundaje/oak/projects/neuro-variants/variant_position/credible/roussos_2024/variant_figures/roussos_2024.adolescence.Astrocyte/rs6466055_count_position.png",4,220,900)</f>
        <v/>
      </c>
      <c r="T3775">
        <f>IMAGE("https://mitra.stanford.edu/kundaje/oak/projects/neuro-variants/variant_position/credible/roussos_2024/variant_figures/roussos_2024.adolescence.Astrocyte/rs6466055_profile_position.png",4,220,900)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0.02484921042</v>
      </c>
      <c r="G3776" t="n">
        <v>0.4588975335981052</v>
      </c>
      <c r="H3776" t="n">
        <v>0.0110524944386945</v>
      </c>
      <c r="I3776" t="n">
        <v>0.6445042355907259</v>
      </c>
      <c r="J3776" t="n">
        <v>0.0088753226715722</v>
      </c>
      <c r="K3776" t="n">
        <v>0.6708940555752989</v>
      </c>
      <c r="L3776" t="b">
        <v>0</v>
      </c>
      <c r="M3776" t="b">
        <v>0</v>
      </c>
      <c r="N3776" t="inlineStr">
        <is>
          <t>alt</t>
        </is>
      </c>
      <c r="O3776" t="n">
        <v>15</v>
      </c>
      <c r="P3776" t="n">
        <v>0.01099</v>
      </c>
      <c r="Q3776" t="n">
        <v>20</v>
      </c>
      <c r="R3776" t="n">
        <v>0.06322999999999999</v>
      </c>
      <c r="S3776">
        <f>IMAGE("https://mitra.stanford.edu/kundaje/oak/projects/neuro-variants/variant_position/credible/roussos_2024/variant_figures/roussos_2024.adolescence.Astrocyte/rs6466056_count_position.png",4,220,900)</f>
        <v/>
      </c>
      <c r="T3776">
        <f>IMAGE("https://mitra.stanford.edu/kundaje/oak/projects/neuro-variants/variant_position/credible/roussos_2024/variant_figures/roussos_2024.adolescence.Astrocyte/rs6466056_profile_position.png",4,220,900)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-0.0024761603199999</v>
      </c>
      <c r="G3777" t="n">
        <v>0.6943741460035613</v>
      </c>
      <c r="H3777" t="n">
        <v>0.0089966473217938</v>
      </c>
      <c r="I3777" t="n">
        <v>0.8460876958618101</v>
      </c>
      <c r="J3777" t="n">
        <v>0.0043482776014004</v>
      </c>
      <c r="K3777" t="n">
        <v>0.7534131794210817</v>
      </c>
      <c r="L3777" t="b">
        <v>0</v>
      </c>
      <c r="M3777" t="b">
        <v>0</v>
      </c>
      <c r="N3777" t="inlineStr">
        <is>
          <t>ref</t>
        </is>
      </c>
      <c r="O3777" t="n">
        <v>-95</v>
      </c>
      <c r="P3777" t="n">
        <v>0.008574999999999999</v>
      </c>
      <c r="Q3777" t="n">
        <v>45</v>
      </c>
      <c r="R3777" t="n">
        <v>0.0963</v>
      </c>
      <c r="S3777">
        <f>IMAGE("https://mitra.stanford.edu/kundaje/oak/projects/neuro-variants/variant_position/credible/roussos_2024/variant_figures/roussos_2024.adolescence.Astrocyte/rs2057884_count_position.png",4,220,900)</f>
        <v/>
      </c>
      <c r="T3777">
        <f>IMAGE("https://mitra.stanford.edu/kundaje/oak/projects/neuro-variants/variant_position/credible/roussos_2024/variant_figures/roussos_2024.adolescence.Astrocyte/rs2057884_profile_position.png",4,220,900)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-0.1103653856</v>
      </c>
      <c r="G3778" t="n">
        <v>0.0671038536665361</v>
      </c>
      <c r="H3778" t="n">
        <v>0.0183366933446063</v>
      </c>
      <c r="I3778" t="n">
        <v>0.182644193930187</v>
      </c>
      <c r="J3778" t="n">
        <v>0.0010852149660267</v>
      </c>
      <c r="K3778" t="n">
        <v>0.866367657591592</v>
      </c>
      <c r="L3778" t="b">
        <v>0</v>
      </c>
      <c r="M3778" t="b">
        <v>0</v>
      </c>
      <c r="N3778" t="inlineStr">
        <is>
          <t>ref</t>
        </is>
      </c>
      <c r="O3778" t="n">
        <v>-10</v>
      </c>
      <c r="P3778" t="n">
        <v>0.0004044</v>
      </c>
      <c r="Q3778" t="n">
        <v>60</v>
      </c>
      <c r="R3778" t="n">
        <v>0.01678</v>
      </c>
      <c r="S3778">
        <f>IMAGE("https://mitra.stanford.edu/kundaje/oak/projects/neuro-variants/variant_position/credible/roussos_2024/variant_figures/roussos_2024.adolescence.Astrocyte/rs4730430_count_position.png",4,220,900)</f>
        <v/>
      </c>
      <c r="T3778">
        <f>IMAGE("https://mitra.stanford.edu/kundaje/oak/projects/neuro-variants/variant_position/credible/roussos_2024/variant_figures/roussos_2024.adolescence.Astrocyte/rs4730430_profile_position.png",4,220,900)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0.0021095218072</v>
      </c>
      <c r="G3779" t="n">
        <v>0.8984463132308772</v>
      </c>
      <c r="H3779" t="n">
        <v>0.0218945629715547</v>
      </c>
      <c r="I3779" t="n">
        <v>0.1023524518353239</v>
      </c>
      <c r="J3779" t="n">
        <v>0.0002974512654659</v>
      </c>
      <c r="K3779" t="n">
        <v>0.9457979364247644</v>
      </c>
      <c r="L3779" t="b">
        <v>0</v>
      </c>
      <c r="M3779" t="b">
        <v>0</v>
      </c>
      <c r="N3779" t="inlineStr">
        <is>
          <t>alt</t>
        </is>
      </c>
      <c r="O3779" t="n">
        <v>-80</v>
      </c>
      <c r="P3779" t="n">
        <v>0.000931</v>
      </c>
      <c r="Q3779" t="n">
        <v>100</v>
      </c>
      <c r="R3779" t="n">
        <v>0.0829</v>
      </c>
      <c r="S3779">
        <f>IMAGE("https://mitra.stanford.edu/kundaje/oak/projects/neuro-variants/variant_position/credible/roussos_2024/variant_figures/roussos_2024.adolescence.Astrocyte/rs55634663_count_position.png",4,220,900)</f>
        <v/>
      </c>
      <c r="T3779">
        <f>IMAGE("https://mitra.stanford.edu/kundaje/oak/projects/neuro-variants/variant_position/credible/roussos_2024/variant_figures/roussos_2024.adolescence.Astrocyte/rs55634663_profile_position.png",4,220,900)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0.122891432</v>
      </c>
      <c r="G3780" t="n">
        <v>0.0592714775345504</v>
      </c>
      <c r="H3780" t="n">
        <v>0.0185860910358729</v>
      </c>
      <c r="I3780" t="n">
        <v>0.1768032836159605</v>
      </c>
      <c r="J3780" t="n">
        <v>0.108080141233718</v>
      </c>
      <c r="K3780" t="n">
        <v>0.3123358417895208</v>
      </c>
      <c r="L3780" t="b">
        <v>0</v>
      </c>
      <c r="M3780" t="b">
        <v>0</v>
      </c>
      <c r="N3780" t="inlineStr">
        <is>
          <t>alt</t>
        </is>
      </c>
      <c r="O3780" t="n">
        <v>60</v>
      </c>
      <c r="P3780" t="n">
        <v>0.001678</v>
      </c>
      <c r="Q3780" t="n">
        <v>-80</v>
      </c>
      <c r="R3780" t="n">
        <v>0.1504</v>
      </c>
      <c r="S3780">
        <f>IMAGE("https://mitra.stanford.edu/kundaje/oak/projects/neuro-variants/variant_position/credible/roussos_2024/variant_figures/roussos_2024.adolescence.Astrocyte/rs211792_count_position.png",4,220,900)</f>
        <v/>
      </c>
      <c r="T3780">
        <f>IMAGE("https://mitra.stanford.edu/kundaje/oak/projects/neuro-variants/variant_position/credible/roussos_2024/variant_figures/roussos_2024.adolescence.Astrocyte/rs211792_profile_position.png",4,220,900)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0.0505851018</v>
      </c>
      <c r="G3781" t="n">
        <v>0.2380058381267991</v>
      </c>
      <c r="H3781" t="n">
        <v>0.0161577147194805</v>
      </c>
      <c r="I3781" t="n">
        <v>0.2624122958345716</v>
      </c>
      <c r="J3781" t="n">
        <v>0.0514583271518855</v>
      </c>
      <c r="K3781" t="n">
        <v>0.4439469617350953</v>
      </c>
      <c r="L3781" t="b">
        <v>0</v>
      </c>
      <c r="M3781" t="b">
        <v>0</v>
      </c>
      <c r="N3781" t="inlineStr">
        <is>
          <t>alt</t>
        </is>
      </c>
      <c r="O3781" t="n">
        <v>-20</v>
      </c>
      <c r="P3781" t="n">
        <v>0.00293</v>
      </c>
      <c r="Q3781" t="n">
        <v>100</v>
      </c>
      <c r="R3781" t="n">
        <v>0.02948</v>
      </c>
      <c r="S3781">
        <f>IMAGE("https://mitra.stanford.edu/kundaje/oak/projects/neuro-variants/variant_position/credible/roussos_2024/variant_figures/roussos_2024.adolescence.Astrocyte/rs56680698_count_position.png",4,220,900)</f>
        <v/>
      </c>
      <c r="T3781">
        <f>IMAGE("https://mitra.stanford.edu/kundaje/oak/projects/neuro-variants/variant_position/credible/roussos_2024/variant_figures/roussos_2024.adolescence.Astrocyte/rs56680698_profile_position.png",4,220,900)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-0.0212915732</v>
      </c>
      <c r="G3782" t="n">
        <v>0.5299647107210143</v>
      </c>
      <c r="H3782" t="n">
        <v>0.0249551789923755</v>
      </c>
      <c r="I3782" t="n">
        <v>0.0636555745539694</v>
      </c>
      <c r="J3782" t="n">
        <v>0.0125908672818442</v>
      </c>
      <c r="K3782" t="n">
        <v>0.6308110777103051</v>
      </c>
      <c r="L3782" t="b">
        <v>0</v>
      </c>
      <c r="M3782" t="b">
        <v>0</v>
      </c>
      <c r="N3782" t="inlineStr">
        <is>
          <t>ref</t>
        </is>
      </c>
      <c r="O3782" t="n">
        <v>-70</v>
      </c>
      <c r="P3782" t="n">
        <v>0.002502</v>
      </c>
      <c r="Q3782" t="n">
        <v>-80</v>
      </c>
      <c r="R3782" t="n">
        <v>0.05408</v>
      </c>
      <c r="S3782">
        <f>IMAGE("https://mitra.stanford.edu/kundaje/oak/projects/neuro-variants/variant_position/credible/roussos_2024/variant_figures/roussos_2024.adolescence.Astrocyte/rs1525674_count_position.png",4,220,900)</f>
        <v/>
      </c>
      <c r="T3782">
        <f>IMAGE("https://mitra.stanford.edu/kundaje/oak/projects/neuro-variants/variant_position/credible/roussos_2024/variant_figures/roussos_2024.adolescence.Astrocyte/rs1525674_profile_position.png",4,220,900)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-0.01169860625</v>
      </c>
      <c r="G3783" t="n">
        <v>0.7295393722064707</v>
      </c>
      <c r="H3783" t="n">
        <v>0.0110792924143704</v>
      </c>
      <c r="I3783" t="n">
        <v>0.6428784489920393</v>
      </c>
      <c r="J3783" t="n">
        <v>0.0003226715722635</v>
      </c>
      <c r="K3783" t="n">
        <v>0.9361079562819712</v>
      </c>
      <c r="L3783" t="b">
        <v>0</v>
      </c>
      <c r="M3783" t="b">
        <v>0</v>
      </c>
      <c r="N3783" t="inlineStr">
        <is>
          <t>ref</t>
        </is>
      </c>
      <c r="O3783" t="n">
        <v>70</v>
      </c>
      <c r="P3783" t="n">
        <v>0.00522</v>
      </c>
      <c r="Q3783" t="n">
        <v>60</v>
      </c>
      <c r="R3783" t="n">
        <v>0.1663</v>
      </c>
      <c r="S3783">
        <f>IMAGE("https://mitra.stanford.edu/kundaje/oak/projects/neuro-variants/variant_position/credible/roussos_2024/variant_figures/roussos_2024.adolescence.Astrocyte/rs214475_count_position.png",4,220,900)</f>
        <v/>
      </c>
      <c r="T3783">
        <f>IMAGE("https://mitra.stanford.edu/kundaje/oak/projects/neuro-variants/variant_position/credible/roussos_2024/variant_figures/roussos_2024.adolescence.Astrocyte/rs214475_profile_position.png",4,220,900)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0.138010982</v>
      </c>
      <c r="G3784" t="n">
        <v>0.046279066311878</v>
      </c>
      <c r="H3784" t="n">
        <v>0.0250831898199018</v>
      </c>
      <c r="I3784" t="n">
        <v>0.0652451440538549</v>
      </c>
      <c r="J3784" t="n">
        <v>0.0026273625493279</v>
      </c>
      <c r="K3784" t="n">
        <v>0.7972631455784317</v>
      </c>
      <c r="L3784" t="b">
        <v>0</v>
      </c>
      <c r="M3784" t="b">
        <v>0</v>
      </c>
      <c r="N3784" t="inlineStr">
        <is>
          <t>alt</t>
        </is>
      </c>
      <c r="O3784" t="n">
        <v>-5</v>
      </c>
      <c r="P3784" t="n">
        <v>0.001106</v>
      </c>
      <c r="Q3784" t="n">
        <v>15</v>
      </c>
      <c r="R3784" t="n">
        <v>0.006042</v>
      </c>
      <c r="S3784">
        <f>IMAGE("https://mitra.stanford.edu/kundaje/oak/projects/neuro-variants/variant_position/credible/roussos_2024/variant_figures/roussos_2024.adolescence.Astrocyte/rs6959670_count_position.png",4,220,900)</f>
        <v/>
      </c>
      <c r="T3784">
        <f>IMAGE("https://mitra.stanford.edu/kundaje/oak/projects/neuro-variants/variant_position/credible/roussos_2024/variant_figures/roussos_2024.adolescence.Astrocyte/rs6959670_profile_position.png",4,220,900)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-0.0331113886</v>
      </c>
      <c r="G3785" t="n">
        <v>0.1413160505286604</v>
      </c>
      <c r="H3785" t="n">
        <v>0.012633454825656</v>
      </c>
      <c r="I3785" t="n">
        <v>0.486767726069141</v>
      </c>
      <c r="J3785" t="n">
        <v>0.1130544758626828</v>
      </c>
      <c r="K3785" t="n">
        <v>0.3074047757262907</v>
      </c>
      <c r="L3785" t="b">
        <v>0</v>
      </c>
      <c r="M3785" t="b">
        <v>0</v>
      </c>
      <c r="N3785" t="inlineStr">
        <is>
          <t>ref</t>
        </is>
      </c>
      <c r="O3785" t="n">
        <v>-95</v>
      </c>
      <c r="P3785" t="n">
        <v>0.006836</v>
      </c>
      <c r="Q3785" t="n">
        <v>-5</v>
      </c>
      <c r="R3785" t="n">
        <v>0.02393</v>
      </c>
      <c r="S3785">
        <f>IMAGE("https://mitra.stanford.edu/kundaje/oak/projects/neuro-variants/variant_position/credible/roussos_2024/variant_figures/roussos_2024.adolescence.Astrocyte/rs13239254_count_position.png",4,220,900)</f>
        <v/>
      </c>
      <c r="T3785">
        <f>IMAGE("https://mitra.stanford.edu/kundaje/oak/projects/neuro-variants/variant_position/credible/roussos_2024/variant_figures/roussos_2024.adolescence.Astrocyte/rs13239254_profile_position.png",4,220,900)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-0.07921933619999991</v>
      </c>
      <c r="G3786" t="n">
        <v>0.1270199802588963</v>
      </c>
      <c r="H3786" t="n">
        <v>0.0201589220702743</v>
      </c>
      <c r="I3786" t="n">
        <v>0.1374855347801217</v>
      </c>
      <c r="J3786" t="n">
        <v>0.0138696851912292</v>
      </c>
      <c r="K3786" t="n">
        <v>0.6357956211159861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0.00317</v>
      </c>
      <c r="Q3786" t="n">
        <v>-10</v>
      </c>
      <c r="R3786" t="n">
        <v>0.03162</v>
      </c>
      <c r="S3786">
        <f>IMAGE("https://mitra.stanford.edu/kundaje/oak/projects/neuro-variants/variant_position/credible/roussos_2024/variant_figures/roussos_2024.adolescence.Astrocyte/rs35426637_count_position.png",4,220,900)</f>
        <v/>
      </c>
      <c r="T3786">
        <f>IMAGE("https://mitra.stanford.edu/kundaje/oak/projects/neuro-variants/variant_position/credible/roussos_2024/variant_figures/roussos_2024.adolescence.Astrocyte/rs35426637_profile_position.png",4,220,900)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0.0183021521999999</v>
      </c>
      <c r="G3787" t="n">
        <v>0.4457712822805611</v>
      </c>
      <c r="H3787" t="n">
        <v>0.0148820748232778</v>
      </c>
      <c r="I3787" t="n">
        <v>0.333508748165773</v>
      </c>
      <c r="J3787" t="n">
        <v>0.0019263863751001</v>
      </c>
      <c r="K3787" t="n">
        <v>0.8273079681892045</v>
      </c>
      <c r="L3787" t="b">
        <v>0</v>
      </c>
      <c r="M3787" t="b">
        <v>0</v>
      </c>
      <c r="N3787" t="inlineStr">
        <is>
          <t>alt</t>
        </is>
      </c>
      <c r="O3787" t="n">
        <v>-100</v>
      </c>
      <c r="P3787" t="n">
        <v>0.01052</v>
      </c>
      <c r="Q3787" t="n">
        <v>0</v>
      </c>
      <c r="R3787" t="n">
        <v>0</v>
      </c>
      <c r="S3787">
        <f>IMAGE("https://mitra.stanford.edu/kundaje/oak/projects/neuro-variants/variant_position/credible/roussos_2024/variant_figures/roussos_2024.adolescence.Astrocyte/rs59369558_count_position.png",4,220,900)</f>
        <v/>
      </c>
      <c r="T3787">
        <f>IMAGE("https://mitra.stanford.edu/kundaje/oak/projects/neuro-variants/variant_position/credible/roussos_2024/variant_figures/roussos_2024.adolescence.Astrocyte/rs59369558_profile_position.png",4,220,900)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0.305660616</v>
      </c>
      <c r="G3788" t="n">
        <v>0.005848084987661</v>
      </c>
      <c r="H3788" t="n">
        <v>0.0318680252710421</v>
      </c>
      <c r="I3788" t="n">
        <v>0.0251360919906042</v>
      </c>
      <c r="J3788" t="n">
        <v>0.022166424353915</v>
      </c>
      <c r="K3788" t="n">
        <v>0.5670558700584477</v>
      </c>
      <c r="L3788" t="b">
        <v>1</v>
      </c>
      <c r="M3788" t="b">
        <v>1</v>
      </c>
      <c r="N3788" t="inlineStr">
        <is>
          <t>alt</t>
        </is>
      </c>
      <c r="O3788" t="n">
        <v>80</v>
      </c>
      <c r="P3788" t="n">
        <v>0.002007</v>
      </c>
      <c r="Q3788" t="n">
        <v>-20</v>
      </c>
      <c r="R3788" t="n">
        <v>0.02661</v>
      </c>
      <c r="S3788">
        <f>IMAGE("https://mitra.stanford.edu/kundaje/oak/projects/neuro-variants/variant_position/credible/roussos_2024/variant_figures/roussos_2024.adolescence.Astrocyte/rs12706031_count_position.png",4,220,900)</f>
        <v/>
      </c>
      <c r="T3788">
        <f>IMAGE("https://mitra.stanford.edu/kundaje/oak/projects/neuro-variants/variant_position/credible/roussos_2024/variant_figures/roussos_2024.adolescence.Astrocyte/rs12706031_profile_position.png",4,220,900)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-0.0166701329999999</v>
      </c>
      <c r="G3789" t="n">
        <v>0.1683694614552451</v>
      </c>
      <c r="H3789" t="n">
        <v>0.0175584923670976</v>
      </c>
      <c r="I3789" t="n">
        <v>0.2123490883630999</v>
      </c>
      <c r="J3789" t="n">
        <v>0.1840637331988249</v>
      </c>
      <c r="K3789" t="n">
        <v>0.2170136499735499</v>
      </c>
      <c r="L3789" t="b">
        <v>0</v>
      </c>
      <c r="M3789" t="b">
        <v>0</v>
      </c>
      <c r="N3789" t="inlineStr">
        <is>
          <t>ref</t>
        </is>
      </c>
      <c r="O3789" t="n">
        <v>-80</v>
      </c>
      <c r="P3789" t="n">
        <v>0.0419</v>
      </c>
      <c r="Q3789" t="n">
        <v>-45</v>
      </c>
      <c r="R3789" t="n">
        <v>0.06444999999999999</v>
      </c>
      <c r="S3789">
        <f>IMAGE("https://mitra.stanford.edu/kundaje/oak/projects/neuro-variants/variant_position/credible/roussos_2024/variant_figures/roussos_2024.adolescence.Astrocyte/rs2401924_count_position.png",4,220,900)</f>
        <v/>
      </c>
      <c r="T3789">
        <f>IMAGE("https://mitra.stanford.edu/kundaje/oak/projects/neuro-variants/variant_position/credible/roussos_2024/variant_figures/roussos_2024.adolescence.Astrocyte/rs2401924_profile_position.png",4,220,900)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-0.0393209149</v>
      </c>
      <c r="G3790" t="n">
        <v>0.3167152321210923</v>
      </c>
      <c r="H3790" t="n">
        <v>0.0120039361088389</v>
      </c>
      <c r="I3790" t="n">
        <v>0.555247382867747</v>
      </c>
      <c r="J3790" t="n">
        <v>0.0523402961160726</v>
      </c>
      <c r="K3790" t="n">
        <v>0.4356946714553117</v>
      </c>
      <c r="L3790" t="b">
        <v>0</v>
      </c>
      <c r="M3790" t="b">
        <v>0</v>
      </c>
      <c r="N3790" t="inlineStr">
        <is>
          <t>ref</t>
        </is>
      </c>
      <c r="O3790" t="n">
        <v>95</v>
      </c>
      <c r="P3790" t="n">
        <v>0.02777</v>
      </c>
      <c r="Q3790" t="n">
        <v>100</v>
      </c>
      <c r="R3790" t="n">
        <v>0.2092</v>
      </c>
      <c r="S3790">
        <f>IMAGE("https://mitra.stanford.edu/kundaje/oak/projects/neuro-variants/variant_position/credible/roussos_2024/variant_figures/roussos_2024.adolescence.Astrocyte/rs62474713_count_position.png",4,220,900)</f>
        <v/>
      </c>
      <c r="T3790">
        <f>IMAGE("https://mitra.stanford.edu/kundaje/oak/projects/neuro-variants/variant_position/credible/roussos_2024/variant_figures/roussos_2024.adolescence.Astrocyte/rs62474713_profile_position.png",4,220,900)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0.040383415</v>
      </c>
      <c r="G3791" t="n">
        <v>0.3062677782865988</v>
      </c>
      <c r="H3791" t="n">
        <v>0.0161770090357792</v>
      </c>
      <c r="I3791" t="n">
        <v>0.2606808461161102</v>
      </c>
      <c r="J3791" t="n">
        <v>0.0011964810254279</v>
      </c>
      <c r="K3791" t="n">
        <v>0.8765815385371295</v>
      </c>
      <c r="L3791" t="b">
        <v>0</v>
      </c>
      <c r="M3791" t="b">
        <v>0</v>
      </c>
      <c r="N3791" t="inlineStr">
        <is>
          <t>alt</t>
        </is>
      </c>
      <c r="O3791" t="n">
        <v>-95</v>
      </c>
      <c r="P3791" t="n">
        <v>0.0839</v>
      </c>
      <c r="Q3791" t="n">
        <v>-5</v>
      </c>
      <c r="R3791" t="n">
        <v>0.006897</v>
      </c>
      <c r="S3791">
        <f>IMAGE("https://mitra.stanford.edu/kundaje/oak/projects/neuro-variants/variant_position/credible/roussos_2024/variant_figures/roussos_2024.adolescence.Astrocyte/rs2401925_count_position.png",4,220,900)</f>
        <v/>
      </c>
      <c r="T3791">
        <f>IMAGE("https://mitra.stanford.edu/kundaje/oak/projects/neuro-variants/variant_position/credible/roussos_2024/variant_figures/roussos_2024.adolescence.Astrocyte/rs2401925_profile_position.png",4,220,900)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-0.020925220974</v>
      </c>
      <c r="G3792" t="n">
        <v>0.5540619374543386</v>
      </c>
      <c r="H3792" t="n">
        <v>0.026963625350614</v>
      </c>
      <c r="I3792" t="n">
        <v>0.0489968218624679</v>
      </c>
      <c r="J3792" t="n">
        <v>0.002729727323977</v>
      </c>
      <c r="K3792" t="n">
        <v>0.8053835282654395</v>
      </c>
      <c r="L3792" t="b">
        <v>0</v>
      </c>
      <c r="M3792" t="b">
        <v>0</v>
      </c>
      <c r="N3792" t="inlineStr">
        <is>
          <t>ref</t>
        </is>
      </c>
      <c r="O3792" t="n">
        <v>55</v>
      </c>
      <c r="P3792" t="n">
        <v>0.02208</v>
      </c>
      <c r="Q3792" t="n">
        <v>70</v>
      </c>
      <c r="R3792" t="n">
        <v>0.06018</v>
      </c>
      <c r="S3792">
        <f>IMAGE("https://mitra.stanford.edu/kundaje/oak/projects/neuro-variants/variant_position/credible/roussos_2024/variant_figures/roussos_2024.adolescence.Astrocyte/rs1358394_count_position.png",4,220,900)</f>
        <v/>
      </c>
      <c r="T3792">
        <f>IMAGE("https://mitra.stanford.edu/kundaje/oak/projects/neuro-variants/variant_position/credible/roussos_2024/variant_figures/roussos_2024.adolescence.Astrocyte/rs1358394_profile_position.png",4,220,900)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0.014361825666</v>
      </c>
      <c r="G3793" t="n">
        <v>0.6651173327825437</v>
      </c>
      <c r="H3793" t="n">
        <v>0.0234272717498085</v>
      </c>
      <c r="I3793" t="n">
        <v>0.0803705343628819</v>
      </c>
      <c r="J3793" t="n">
        <v>0.0006727887725128001</v>
      </c>
      <c r="K3793" t="n">
        <v>0.910990395367436</v>
      </c>
      <c r="L3793" t="b">
        <v>0</v>
      </c>
      <c r="M3793" t="b">
        <v>0</v>
      </c>
      <c r="N3793" t="inlineStr">
        <is>
          <t>alt</t>
        </is>
      </c>
      <c r="O3793" t="n">
        <v>75</v>
      </c>
      <c r="P3793" t="n">
        <v>0.005676</v>
      </c>
      <c r="Q3793" t="n">
        <v>-50</v>
      </c>
      <c r="R3793" t="n">
        <v>0.0562</v>
      </c>
      <c r="S3793">
        <f>IMAGE("https://mitra.stanford.edu/kundaje/oak/projects/neuro-variants/variant_position/credible/roussos_2024/variant_figures/roussos_2024.adolescence.Astrocyte/rs4730682_count_position.png",4,220,900)</f>
        <v/>
      </c>
      <c r="T3793">
        <f>IMAGE("https://mitra.stanford.edu/kundaje/oak/projects/neuro-variants/variant_position/credible/roussos_2024/variant_figures/roussos_2024.adolescence.Astrocyte/rs4730682_profile_position.png",4,220,900)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0.02305240594</v>
      </c>
      <c r="G3794" t="n">
        <v>0.4531135318632967</v>
      </c>
      <c r="H3794" t="n">
        <v>0.0371071246129608</v>
      </c>
      <c r="I3794" t="n">
        <v>0.013785372771781</v>
      </c>
      <c r="J3794" t="n">
        <v>0.4226144556864374</v>
      </c>
      <c r="K3794" t="n">
        <v>0.0801784021229317</v>
      </c>
      <c r="L3794" t="b">
        <v>1</v>
      </c>
      <c r="M3794" t="b">
        <v>0</v>
      </c>
      <c r="N3794" t="inlineStr">
        <is>
          <t>alt</t>
        </is>
      </c>
      <c r="O3794" t="n">
        <v>-75</v>
      </c>
      <c r="P3794" t="n">
        <v>0.1353</v>
      </c>
      <c r="Q3794" t="n">
        <v>70</v>
      </c>
      <c r="R3794" t="n">
        <v>0.1967</v>
      </c>
      <c r="S3794">
        <f>IMAGE("https://mitra.stanford.edu/kundaje/oak/projects/neuro-variants/variant_position/credible/roussos_2024/variant_figures/roussos_2024.adolescence.Astrocyte/rs10269552_count_position.png",4,220,900)</f>
        <v/>
      </c>
      <c r="T3794">
        <f>IMAGE("https://mitra.stanford.edu/kundaje/oak/projects/neuro-variants/variant_position/credible/roussos_2024/variant_figures/roussos_2024.adolescence.Astrocyte/rs10269552_profile_position.png",4,220,900)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0.214126094</v>
      </c>
      <c r="G3795" t="n">
        <v>0.018689617864475</v>
      </c>
      <c r="H3795" t="n">
        <v>0.0250258254162527</v>
      </c>
      <c r="I3795" t="n">
        <v>0.07067422445359151</v>
      </c>
      <c r="J3795" t="n">
        <v>0.0639238346734711</v>
      </c>
      <c r="K3795" t="n">
        <v>0.4045712993862436</v>
      </c>
      <c r="L3795" t="b">
        <v>1</v>
      </c>
      <c r="M3795" t="b">
        <v>0</v>
      </c>
      <c r="N3795" t="inlineStr">
        <is>
          <t>alt</t>
        </is>
      </c>
      <c r="O3795" t="n">
        <v>-100</v>
      </c>
      <c r="P3795" t="n">
        <v>0.004204</v>
      </c>
      <c r="Q3795" t="n">
        <v>-95</v>
      </c>
      <c r="R3795" t="n">
        <v>0.04407</v>
      </c>
      <c r="S3795">
        <f>IMAGE("https://mitra.stanford.edu/kundaje/oak/projects/neuro-variants/variant_position/credible/roussos_2024/variant_figures/roussos_2024.adolescence.Astrocyte/rs73238074_count_position.png",4,220,900)</f>
        <v/>
      </c>
      <c r="T3795">
        <f>IMAGE("https://mitra.stanford.edu/kundaje/oak/projects/neuro-variants/variant_position/credible/roussos_2024/variant_figures/roussos_2024.adolescence.Astrocyte/rs73238074_profile_position.png",4,220,900)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-0.044222417</v>
      </c>
      <c r="G3796" t="n">
        <v>0.240295673790255</v>
      </c>
      <c r="H3796" t="n">
        <v>0.01423553669209</v>
      </c>
      <c r="I3796" t="n">
        <v>0.372856748179045</v>
      </c>
      <c r="J3796" t="n">
        <v>0.3213756935584369</v>
      </c>
      <c r="K3796" t="n">
        <v>0.1225811595783824</v>
      </c>
      <c r="L3796" t="b">
        <v>0</v>
      </c>
      <c r="M3796" t="b">
        <v>0</v>
      </c>
      <c r="N3796" t="inlineStr">
        <is>
          <t>ref</t>
        </is>
      </c>
      <c r="O3796" t="n">
        <v>90</v>
      </c>
      <c r="P3796" t="n">
        <v>0.004284</v>
      </c>
      <c r="Q3796" t="n">
        <v>95</v>
      </c>
      <c r="R3796" t="n">
        <v>0.04254</v>
      </c>
      <c r="S3796">
        <f>IMAGE("https://mitra.stanford.edu/kundaje/oak/projects/neuro-variants/variant_position/credible/roussos_2024/variant_figures/roussos_2024.adolescence.Astrocyte/rs3757753_count_position.png",4,220,900)</f>
        <v/>
      </c>
      <c r="T3796">
        <f>IMAGE("https://mitra.stanford.edu/kundaje/oak/projects/neuro-variants/variant_position/credible/roussos_2024/variant_figures/roussos_2024.adolescence.Astrocyte/rs3757753_profile_position.png",4,220,900)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0.0309192904</v>
      </c>
      <c r="G3797" t="n">
        <v>0.3960252107322866</v>
      </c>
      <c r="H3797" t="n">
        <v>0.0124435016630808</v>
      </c>
      <c r="I3797" t="n">
        <v>0.4952594012198584</v>
      </c>
      <c r="J3797" t="n">
        <v>0.6615998575794441</v>
      </c>
      <c r="K3797" t="n">
        <v>0.0234714230110966</v>
      </c>
      <c r="L3797" t="b">
        <v>0</v>
      </c>
      <c r="M3797" t="b">
        <v>0</v>
      </c>
      <c r="N3797" t="inlineStr">
        <is>
          <t>alt</t>
        </is>
      </c>
      <c r="O3797" t="n">
        <v>-55</v>
      </c>
      <c r="P3797" t="n">
        <v>0.009220000000000001</v>
      </c>
      <c r="Q3797" t="n">
        <v>100</v>
      </c>
      <c r="R3797" t="n">
        <v>0.1404</v>
      </c>
      <c r="S3797">
        <f>IMAGE("https://mitra.stanford.edu/kundaje/oak/projects/neuro-variants/variant_position/credible/roussos_2024/variant_figures/roussos_2024.adolescence.Astrocyte/rs322832_count_position.png",4,220,900)</f>
        <v/>
      </c>
      <c r="T3797">
        <f>IMAGE("https://mitra.stanford.edu/kundaje/oak/projects/neuro-variants/variant_position/credible/roussos_2024/variant_figures/roussos_2024.adolescence.Astrocyte/rs322832_profile_position.png",4,220,900)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0.0597060917999999</v>
      </c>
      <c r="G3798" t="n">
        <v>0.1818447986734838</v>
      </c>
      <c r="H3798" t="n">
        <v>0.0306570393720652</v>
      </c>
      <c r="I3798" t="n">
        <v>0.0291844901718417</v>
      </c>
      <c r="J3798" t="n">
        <v>0.133351630418657</v>
      </c>
      <c r="K3798" t="n">
        <v>0.2889406498259816</v>
      </c>
      <c r="L3798" t="b">
        <v>0</v>
      </c>
      <c r="M3798" t="b">
        <v>0</v>
      </c>
      <c r="N3798" t="inlineStr">
        <is>
          <t>alt</t>
        </is>
      </c>
      <c r="O3798" t="n">
        <v>-100</v>
      </c>
      <c r="P3798" t="n">
        <v>0.003237</v>
      </c>
      <c r="Q3798" t="n">
        <v>-15</v>
      </c>
      <c r="R3798" t="n">
        <v>0.00831</v>
      </c>
      <c r="S3798">
        <f>IMAGE("https://mitra.stanford.edu/kundaje/oak/projects/neuro-variants/variant_position/credible/roussos_2024/variant_figures/roussos_2024.adolescence.Astrocyte/rs6954161_count_position.png",4,220,900)</f>
        <v/>
      </c>
      <c r="T3798">
        <f>IMAGE("https://mitra.stanford.edu/kundaje/oak/projects/neuro-variants/variant_position/credible/roussos_2024/variant_figures/roussos_2024.adolescence.Astrocyte/rs6954161_profile_position.png",4,220,900)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0.0726993714</v>
      </c>
      <c r="G3799" t="n">
        <v>0.1418298218128286</v>
      </c>
      <c r="H3799" t="n">
        <v>0.0188620942715574</v>
      </c>
      <c r="I3799" t="n">
        <v>0.1736023467816803</v>
      </c>
      <c r="J3799" t="n">
        <v>0.0910727531673737</v>
      </c>
      <c r="K3799" t="n">
        <v>0.3566903171107565</v>
      </c>
      <c r="L3799" t="b">
        <v>0</v>
      </c>
      <c r="M3799" t="b">
        <v>0</v>
      </c>
      <c r="N3799" t="inlineStr">
        <is>
          <t>alt</t>
        </is>
      </c>
      <c r="O3799" t="n">
        <v>-20</v>
      </c>
      <c r="P3799" t="n">
        <v>0.0008965000000000001</v>
      </c>
      <c r="Q3799" t="n">
        <v>95</v>
      </c>
      <c r="R3799" t="n">
        <v>0.2164</v>
      </c>
      <c r="S3799">
        <f>IMAGE("https://mitra.stanford.edu/kundaje/oak/projects/neuro-variants/variant_position/credible/roussos_2024/variant_figures/roussos_2024.adolescence.Astrocyte/rs6954389_count_position.png",4,220,900)</f>
        <v/>
      </c>
      <c r="T3799">
        <f>IMAGE("https://mitra.stanford.edu/kundaje/oak/projects/neuro-variants/variant_position/credible/roussos_2024/variant_figures/roussos_2024.adolescence.Astrocyte/rs6954389_profile_position.png",4,220,900)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-0.0224245836</v>
      </c>
      <c r="G3800" t="n">
        <v>0.5307613225965149</v>
      </c>
      <c r="H3800" t="n">
        <v>0.009351048545263699</v>
      </c>
      <c r="I3800" t="n">
        <v>0.8295516669003146</v>
      </c>
      <c r="J3800" t="n">
        <v>0.0992426490223422</v>
      </c>
      <c r="K3800" t="n">
        <v>0.3341294393597894</v>
      </c>
      <c r="L3800" t="b">
        <v>0</v>
      </c>
      <c r="M3800" t="b">
        <v>0</v>
      </c>
      <c r="N3800" t="inlineStr">
        <is>
          <t>ref</t>
        </is>
      </c>
      <c r="O3800" t="n">
        <v>15</v>
      </c>
      <c r="P3800" t="n">
        <v>0.001579</v>
      </c>
      <c r="Q3800" t="n">
        <v>-45</v>
      </c>
      <c r="R3800" t="n">
        <v>0.0531</v>
      </c>
      <c r="S3800">
        <f>IMAGE("https://mitra.stanford.edu/kundaje/oak/projects/neuro-variants/variant_position/credible/roussos_2024/variant_figures/roussos_2024.adolescence.Astrocyte/rs7792971_count_position.png",4,220,900)</f>
        <v/>
      </c>
      <c r="T3800">
        <f>IMAGE("https://mitra.stanford.edu/kundaje/oak/projects/neuro-variants/variant_position/credible/roussos_2024/variant_figures/roussos_2024.adolescence.Astrocyte/rs7792971_profile_position.png",4,220,900)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-0.0108316187</v>
      </c>
      <c r="G3801" t="n">
        <v>0.636399686272719</v>
      </c>
      <c r="H3801" t="n">
        <v>0.009929481716110499</v>
      </c>
      <c r="I3801" t="n">
        <v>0.7720777831173146</v>
      </c>
      <c r="J3801" t="n">
        <v>0.0944834287748864</v>
      </c>
      <c r="K3801" t="n">
        <v>0.3413749465295714</v>
      </c>
      <c r="L3801" t="b">
        <v>0</v>
      </c>
      <c r="M3801" t="b">
        <v>0</v>
      </c>
      <c r="N3801" t="inlineStr">
        <is>
          <t>ref</t>
        </is>
      </c>
      <c r="O3801" t="n">
        <v>-100</v>
      </c>
      <c r="P3801" t="n">
        <v>0.01041</v>
      </c>
      <c r="Q3801" t="n">
        <v>-85</v>
      </c>
      <c r="R3801" t="n">
        <v>0.08105</v>
      </c>
      <c r="S3801">
        <f>IMAGE("https://mitra.stanford.edu/kundaje/oak/projects/neuro-variants/variant_position/credible/roussos_2024/variant_figures/roussos_2024.adolescence.Astrocyte/rs6467161_count_position.png",4,220,900)</f>
        <v/>
      </c>
      <c r="T3801">
        <f>IMAGE("https://mitra.stanford.edu/kundaje/oak/projects/neuro-variants/variant_position/credible/roussos_2024/variant_figures/roussos_2024.adolescence.Astrocyte/rs6467161_profile_position.png",4,220,900)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-0.0004306693599999</v>
      </c>
      <c r="G3802" t="n">
        <v>0.6651058754684319</v>
      </c>
      <c r="H3802" t="n">
        <v>0.0175234523693272</v>
      </c>
      <c r="I3802" t="n">
        <v>0.2120487635259498</v>
      </c>
      <c r="J3802" t="n">
        <v>0.5522216123193781</v>
      </c>
      <c r="K3802" t="n">
        <v>0.0435260477543336</v>
      </c>
      <c r="L3802" t="b">
        <v>0</v>
      </c>
      <c r="M3802" t="b">
        <v>0</v>
      </c>
      <c r="N3802" t="inlineStr">
        <is>
          <t>ref</t>
        </is>
      </c>
      <c r="O3802" t="n">
        <v>10</v>
      </c>
      <c r="P3802" t="n">
        <v>0.001587</v>
      </c>
      <c r="Q3802" t="n">
        <v>-85</v>
      </c>
      <c r="R3802" t="n">
        <v>0.0348</v>
      </c>
      <c r="S3802">
        <f>IMAGE("https://mitra.stanford.edu/kundaje/oak/projects/neuro-variants/variant_position/credible/roussos_2024/variant_figures/roussos_2024.adolescence.Astrocyte/rs7803473_count_position.png",4,220,900)</f>
        <v/>
      </c>
      <c r="T3802">
        <f>IMAGE("https://mitra.stanford.edu/kundaje/oak/projects/neuro-variants/variant_position/credible/roussos_2024/variant_figures/roussos_2024.adolescence.Astrocyte/rs7803473_profile_position.png",4,220,900)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-0.375041222</v>
      </c>
      <c r="G3803" t="n">
        <v>0.0032871715991525</v>
      </c>
      <c r="H3803" t="n">
        <v>0.0533878086388627</v>
      </c>
      <c r="I3803" t="n">
        <v>0.0031745804119424</v>
      </c>
      <c r="J3803" t="n">
        <v>0.7717265525324155</v>
      </c>
      <c r="K3803" t="n">
        <v>0.0106129362957389</v>
      </c>
      <c r="L3803" t="b">
        <v>1</v>
      </c>
      <c r="M3803" t="b">
        <v>1</v>
      </c>
      <c r="N3803" t="inlineStr">
        <is>
          <t>ref</t>
        </is>
      </c>
      <c r="O3803" t="n">
        <v>40</v>
      </c>
      <c r="P3803" t="n">
        <v>0.01102</v>
      </c>
      <c r="Q3803" t="n">
        <v>45</v>
      </c>
      <c r="R3803" t="n">
        <v>0.1316</v>
      </c>
      <c r="S3803">
        <f>IMAGE("https://mitra.stanford.edu/kundaje/oak/projects/neuro-variants/variant_position/credible/roussos_2024/variant_figures/roussos_2024.adolescence.Astrocyte/rs6467163_count_position.png",4,220,900)</f>
        <v/>
      </c>
      <c r="T3803">
        <f>IMAGE("https://mitra.stanford.edu/kundaje/oak/projects/neuro-variants/variant_position/credible/roussos_2024/variant_figures/roussos_2024.adolescence.Astrocyte/rs6467163_profile_position.png",4,220,900)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0.1691183092</v>
      </c>
      <c r="G3804" t="n">
        <v>0.0269669180093226</v>
      </c>
      <c r="H3804" t="n">
        <v>0.0220843517646744</v>
      </c>
      <c r="I3804" t="n">
        <v>0.09729606735927469</v>
      </c>
      <c r="J3804" t="n">
        <v>0.1466931727145951</v>
      </c>
      <c r="K3804" t="n">
        <v>0.2617536719979929</v>
      </c>
      <c r="L3804" t="b">
        <v>0</v>
      </c>
      <c r="M3804" t="b">
        <v>0</v>
      </c>
      <c r="N3804" t="inlineStr">
        <is>
          <t>alt</t>
        </is>
      </c>
      <c r="O3804" t="n">
        <v>-5</v>
      </c>
      <c r="P3804" t="n">
        <v>0.0001221</v>
      </c>
      <c r="Q3804" t="n">
        <v>-15</v>
      </c>
      <c r="R3804" t="n">
        <v>0.02466</v>
      </c>
      <c r="S3804">
        <f>IMAGE("https://mitra.stanford.edu/kundaje/oak/projects/neuro-variants/variant_position/credible/roussos_2024/variant_figures/roussos_2024.adolescence.Astrocyte/rs73239723_count_position.png",4,220,900)</f>
        <v/>
      </c>
      <c r="T3804">
        <f>IMAGE("https://mitra.stanford.edu/kundaje/oak/projects/neuro-variants/variant_position/credible/roussos_2024/variant_figures/roussos_2024.adolescence.Astrocyte/rs73239723_profile_position.png",4,220,900)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-0.0216466471999999</v>
      </c>
      <c r="G3805" t="n">
        <v>0.4222430553195193</v>
      </c>
      <c r="H3805" t="n">
        <v>0.009252249766452</v>
      </c>
      <c r="I3805" t="n">
        <v>0.8312950942827583</v>
      </c>
      <c r="J3805" t="n">
        <v>0.6983243331454174</v>
      </c>
      <c r="K3805" t="n">
        <v>0.0184940454347866</v>
      </c>
      <c r="L3805" t="b">
        <v>0</v>
      </c>
      <c r="M3805" t="b">
        <v>0</v>
      </c>
      <c r="N3805" t="inlineStr">
        <is>
          <t>ref</t>
        </is>
      </c>
      <c r="O3805" t="n">
        <v>100</v>
      </c>
      <c r="P3805" t="n">
        <v>0.02298</v>
      </c>
      <c r="Q3805" t="n">
        <v>50</v>
      </c>
      <c r="R3805" t="n">
        <v>0.483</v>
      </c>
      <c r="S3805">
        <f>IMAGE("https://mitra.stanford.edu/kundaje/oak/projects/neuro-variants/variant_position/credible/roussos_2024/variant_figures/roussos_2024.adolescence.Astrocyte/rs142949934_count_position.png",4,220,900)</f>
        <v/>
      </c>
      <c r="T3805">
        <f>IMAGE("https://mitra.stanford.edu/kundaje/oak/projects/neuro-variants/variant_position/credible/roussos_2024/variant_figures/roussos_2024.adolescence.Astrocyte/rs142949934_profile_position.png",4,220,900)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-0.01112221574</v>
      </c>
      <c r="G3806" t="n">
        <v>0.6174341020987769</v>
      </c>
      <c r="H3806" t="n">
        <v>0.0215378768765051</v>
      </c>
      <c r="I3806" t="n">
        <v>0.1064835958013215</v>
      </c>
      <c r="J3806" t="n">
        <v>0.0030561077648873</v>
      </c>
      <c r="K3806" t="n">
        <v>0.7945106358891733</v>
      </c>
      <c r="L3806" t="b">
        <v>0</v>
      </c>
      <c r="M3806" t="b">
        <v>0</v>
      </c>
      <c r="N3806" t="inlineStr">
        <is>
          <t>ref</t>
        </is>
      </c>
      <c r="O3806" t="n">
        <v>-75</v>
      </c>
      <c r="P3806" t="n">
        <v>0.004852</v>
      </c>
      <c r="Q3806" t="n">
        <v>10</v>
      </c>
      <c r="R3806" t="n">
        <v>0.02563</v>
      </c>
      <c r="S3806">
        <f>IMAGE("https://mitra.stanford.edu/kundaje/oak/projects/neuro-variants/variant_position/credible/roussos_2024/variant_figures/roussos_2024.adolescence.Astrocyte/rs2122628_count_position.png",4,220,900)</f>
        <v/>
      </c>
      <c r="T3806">
        <f>IMAGE("https://mitra.stanford.edu/kundaje/oak/projects/neuro-variants/variant_position/credible/roussos_2024/variant_figures/roussos_2024.adolescence.Astrocyte/rs2122628_profile_position.png",4,220,900)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0.0279779392</v>
      </c>
      <c r="G3807" t="n">
        <v>0.4095092228221899</v>
      </c>
      <c r="H3807" t="n">
        <v>0.0167151332546302</v>
      </c>
      <c r="I3807" t="n">
        <v>0.2416773576908534</v>
      </c>
      <c r="J3807" t="n">
        <v>0.0523402961160727</v>
      </c>
      <c r="K3807" t="n">
        <v>0.456883100764605</v>
      </c>
      <c r="L3807" t="b">
        <v>0</v>
      </c>
      <c r="M3807" t="b">
        <v>0</v>
      </c>
      <c r="N3807" t="inlineStr">
        <is>
          <t>alt</t>
        </is>
      </c>
      <c r="O3807" t="n">
        <v>5</v>
      </c>
      <c r="P3807" t="n">
        <v>6.104e-05</v>
      </c>
      <c r="Q3807" t="n">
        <v>-75</v>
      </c>
      <c r="R3807" t="n">
        <v>0.02563</v>
      </c>
      <c r="S3807">
        <f>IMAGE("https://mitra.stanford.edu/kundaje/oak/projects/neuro-variants/variant_position/credible/roussos_2024/variant_figures/roussos_2024.adolescence.Astrocyte/rs10245775_count_position.png",4,220,900)</f>
        <v/>
      </c>
      <c r="T3807">
        <f>IMAGE("https://mitra.stanford.edu/kundaje/oak/projects/neuro-variants/variant_position/credible/roussos_2024/variant_figures/roussos_2024.adolescence.Astrocyte/rs10245775_profile_position.png",4,220,900)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-0.1022029745999999</v>
      </c>
      <c r="G3808" t="n">
        <v>0.0790292567756847</v>
      </c>
      <c r="H3808" t="n">
        <v>0.02403187978292</v>
      </c>
      <c r="I3808" t="n">
        <v>0.0729017530771113</v>
      </c>
      <c r="J3808" t="n">
        <v>0.4315676645995905</v>
      </c>
      <c r="K3808" t="n">
        <v>0.0757205754992116</v>
      </c>
      <c r="L3808" t="b">
        <v>0</v>
      </c>
      <c r="M3808" t="b">
        <v>0</v>
      </c>
      <c r="N3808" t="inlineStr">
        <is>
          <t>ref</t>
        </is>
      </c>
      <c r="O3808" t="n">
        <v>-5</v>
      </c>
      <c r="P3808" t="n">
        <v>0.003906</v>
      </c>
      <c r="Q3808" t="n">
        <v>-40</v>
      </c>
      <c r="R3808" t="n">
        <v>0.0703</v>
      </c>
      <c r="S3808">
        <f>IMAGE("https://mitra.stanford.edu/kundaje/oak/projects/neuro-variants/variant_position/credible/roussos_2024/variant_figures/roussos_2024.adolescence.Astrocyte/rs6944918_count_position.png",4,220,900)</f>
        <v/>
      </c>
      <c r="T3808">
        <f>IMAGE("https://mitra.stanford.edu/kundaje/oak/projects/neuro-variants/variant_position/credible/roussos_2024/variant_figures/roussos_2024.adolescence.Astrocyte/rs6944918_profile_position.png",4,220,900)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-0.0120290268</v>
      </c>
      <c r="G3809" t="n">
        <v>0.6004465934862633</v>
      </c>
      <c r="H3809" t="n">
        <v>0.0149440591222667</v>
      </c>
      <c r="I3809" t="n">
        <v>0.3273775899633161</v>
      </c>
      <c r="J3809" t="n">
        <v>0.3743635581402249</v>
      </c>
      <c r="K3809" t="n">
        <v>0.0974456508390291</v>
      </c>
      <c r="L3809" t="b">
        <v>0</v>
      </c>
      <c r="M3809" t="b">
        <v>0</v>
      </c>
      <c r="N3809" t="inlineStr">
        <is>
          <t>ref</t>
        </is>
      </c>
      <c r="O3809" t="n">
        <v>5</v>
      </c>
      <c r="P3809" t="n">
        <v>0.0004654</v>
      </c>
      <c r="Q3809" t="n">
        <v>-80</v>
      </c>
      <c r="R3809" t="n">
        <v>0.08844</v>
      </c>
      <c r="S3809">
        <f>IMAGE("https://mitra.stanford.edu/kundaje/oak/projects/neuro-variants/variant_position/credible/roussos_2024/variant_figures/roussos_2024.adolescence.Astrocyte/rs6945544_count_position.png",4,220,900)</f>
        <v/>
      </c>
      <c r="T3809">
        <f>IMAGE("https://mitra.stanford.edu/kundaje/oak/projects/neuro-variants/variant_position/credible/roussos_2024/variant_figures/roussos_2024.adolescence.Astrocyte/rs6945544_profile_position.png",4,220,900)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0.22808151</v>
      </c>
      <c r="G3810" t="n">
        <v>0.0132864403361401</v>
      </c>
      <c r="H3810" t="n">
        <v>0.0280939726484876</v>
      </c>
      <c r="I3810" t="n">
        <v>0.0427617722000755</v>
      </c>
      <c r="J3810" t="n">
        <v>0.0297161973711538</v>
      </c>
      <c r="K3810" t="n">
        <v>0.5444721335617229</v>
      </c>
      <c r="L3810" t="b">
        <v>1</v>
      </c>
      <c r="M3810" t="b">
        <v>0</v>
      </c>
      <c r="N3810" t="inlineStr">
        <is>
          <t>alt</t>
        </is>
      </c>
      <c r="O3810" t="n">
        <v>-80</v>
      </c>
      <c r="P3810" t="n">
        <v>0.01758</v>
      </c>
      <c r="Q3810" t="n">
        <v>-70</v>
      </c>
      <c r="R3810" t="n">
        <v>0.08984</v>
      </c>
      <c r="S3810">
        <f>IMAGE("https://mitra.stanford.edu/kundaje/oak/projects/neuro-variants/variant_position/credible/roussos_2024/variant_figures/roussos_2024.adolescence.Astrocyte/rs11975170_count_position.png",4,220,900)</f>
        <v/>
      </c>
      <c r="T3810">
        <f>IMAGE("https://mitra.stanford.edu/kundaje/oak/projects/neuro-variants/variant_position/credible/roussos_2024/variant_figures/roussos_2024.adolescence.Astrocyte/rs11975170_profile_position.png",4,220,900)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0.012015594122</v>
      </c>
      <c r="G3811" t="n">
        <v>0.6606647979654758</v>
      </c>
      <c r="H3811" t="n">
        <v>0.0273786580831906</v>
      </c>
      <c r="I3811" t="n">
        <v>0.0445230826125848</v>
      </c>
      <c r="J3811" t="n">
        <v>0.2775924991840489</v>
      </c>
      <c r="K3811" t="n">
        <v>0.1465575752743556</v>
      </c>
      <c r="L3811" t="b">
        <v>0</v>
      </c>
      <c r="M3811" t="b">
        <v>0</v>
      </c>
      <c r="N3811" t="inlineStr">
        <is>
          <t>alt</t>
        </is>
      </c>
      <c r="O3811" t="n">
        <v>80</v>
      </c>
      <c r="P3811" t="n">
        <v>0.0696</v>
      </c>
      <c r="Q3811" t="n">
        <v>95</v>
      </c>
      <c r="R3811" t="n">
        <v>0.2332</v>
      </c>
      <c r="S3811">
        <f>IMAGE("https://mitra.stanford.edu/kundaje/oak/projects/neuro-variants/variant_position/credible/roussos_2024/variant_figures/roussos_2024.adolescence.Astrocyte/rs10954343_count_position.png",4,220,900)</f>
        <v/>
      </c>
      <c r="T3811">
        <f>IMAGE("https://mitra.stanford.edu/kundaje/oak/projects/neuro-variants/variant_position/credible/roussos_2024/variant_figures/roussos_2024.adolescence.Astrocyte/rs10954343_profile_position.png",4,220,900)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0.2288027903999999</v>
      </c>
      <c r="G3812" t="n">
        <v>0.0188260422029866</v>
      </c>
      <c r="H3812" t="n">
        <v>0.0215772045677161</v>
      </c>
      <c r="I3812" t="n">
        <v>0.11634584668296</v>
      </c>
      <c r="J3812" t="n">
        <v>0.1351704596030026</v>
      </c>
      <c r="K3812" t="n">
        <v>0.2732044362573708</v>
      </c>
      <c r="L3812" t="b">
        <v>1</v>
      </c>
      <c r="M3812" t="b">
        <v>0</v>
      </c>
      <c r="N3812" t="inlineStr">
        <is>
          <t>alt</t>
        </is>
      </c>
      <c r="O3812" t="n">
        <v>40</v>
      </c>
      <c r="P3812" t="n">
        <v>0.01239</v>
      </c>
      <c r="Q3812" t="n">
        <v>35</v>
      </c>
      <c r="R3812" t="n">
        <v>0.04834</v>
      </c>
      <c r="S3812">
        <f>IMAGE("https://mitra.stanford.edu/kundaje/oak/projects/neuro-variants/variant_position/credible/roussos_2024/variant_figures/roussos_2024.adolescence.Astrocyte/rs6955090_count_position.png",4,220,900)</f>
        <v/>
      </c>
      <c r="T3812">
        <f>IMAGE("https://mitra.stanford.edu/kundaje/oak/projects/neuro-variants/variant_position/credible/roussos_2024/variant_figures/roussos_2024.adolescence.Astrocyte/rs6955090_profile_position.png",4,220,900)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-0.0045978333</v>
      </c>
      <c r="G3813" t="n">
        <v>0.8063602089489341</v>
      </c>
      <c r="H3813" t="n">
        <v>0.0132686510565203</v>
      </c>
      <c r="I3813" t="n">
        <v>0.442231986506292</v>
      </c>
      <c r="J3813" t="n">
        <v>0.2263604130196124</v>
      </c>
      <c r="K3813" t="n">
        <v>0.1850698447933604</v>
      </c>
      <c r="L3813" t="b">
        <v>0</v>
      </c>
      <c r="M3813" t="b">
        <v>0</v>
      </c>
      <c r="N3813" t="inlineStr">
        <is>
          <t>ref</t>
        </is>
      </c>
      <c r="O3813" t="n">
        <v>-100</v>
      </c>
      <c r="P3813" t="n">
        <v>0.0747</v>
      </c>
      <c r="Q3813" t="n">
        <v>-100</v>
      </c>
      <c r="R3813" t="n">
        <v>0.5737</v>
      </c>
      <c r="S3813">
        <f>IMAGE("https://mitra.stanford.edu/kundaje/oak/projects/neuro-variants/variant_position/credible/roussos_2024/variant_figures/roussos_2024.adolescence.Astrocyte/rs73725651_count_position.png",4,220,900)</f>
        <v/>
      </c>
      <c r="T3813">
        <f>IMAGE("https://mitra.stanford.edu/kundaje/oak/projects/neuro-variants/variant_position/credible/roussos_2024/variant_figures/roussos_2024.adolescence.Astrocyte/rs73725651_profile_position.png",4,220,900)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0.03534803292</v>
      </c>
      <c r="G3814" t="n">
        <v>0.341192490062721</v>
      </c>
      <c r="H3814" t="n">
        <v>0.0164250555947399</v>
      </c>
      <c r="I3814" t="n">
        <v>0.252804071988135</v>
      </c>
      <c r="J3814" t="n">
        <v>0.0147961605791768</v>
      </c>
      <c r="K3814" t="n">
        <v>0.6228265239861892</v>
      </c>
      <c r="L3814" t="b">
        <v>0</v>
      </c>
      <c r="M3814" t="b">
        <v>0</v>
      </c>
      <c r="N3814" t="inlineStr">
        <is>
          <t>alt</t>
        </is>
      </c>
      <c r="O3814" t="n">
        <v>-30</v>
      </c>
      <c r="P3814" t="n">
        <v>0.00764</v>
      </c>
      <c r="Q3814" t="n">
        <v>-30</v>
      </c>
      <c r="R3814" t="n">
        <v>0.07056</v>
      </c>
      <c r="S3814">
        <f>IMAGE("https://mitra.stanford.edu/kundaje/oak/projects/neuro-variants/variant_position/credible/roussos_2024/variant_figures/roussos_2024.adolescence.Astrocyte/rs7799455_count_position.png",4,220,900)</f>
        <v/>
      </c>
      <c r="T3814">
        <f>IMAGE("https://mitra.stanford.edu/kundaje/oak/projects/neuro-variants/variant_position/credible/roussos_2024/variant_figures/roussos_2024.adolescence.Astrocyte/rs7799455_profile_position.png",4,220,900)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-0.118674876</v>
      </c>
      <c r="G3815" t="n">
        <v>0.0610175240291139</v>
      </c>
      <c r="H3815" t="n">
        <v>0.0261869365310228</v>
      </c>
      <c r="I3815" t="n">
        <v>0.0592205343482402</v>
      </c>
      <c r="J3815" t="n">
        <v>0.0790975580808829</v>
      </c>
      <c r="K3815" t="n">
        <v>0.3707154376553669</v>
      </c>
      <c r="L3815" t="b">
        <v>0</v>
      </c>
      <c r="M3815" t="b">
        <v>0</v>
      </c>
      <c r="N3815" t="inlineStr">
        <is>
          <t>ref</t>
        </is>
      </c>
      <c r="O3815" t="n">
        <v>-85</v>
      </c>
      <c r="P3815" t="n">
        <v>0.01442</v>
      </c>
      <c r="Q3815" t="n">
        <v>-85</v>
      </c>
      <c r="R3815" t="n">
        <v>0.1045</v>
      </c>
      <c r="S3815">
        <f>IMAGE("https://mitra.stanford.edu/kundaje/oak/projects/neuro-variants/variant_position/credible/roussos_2024/variant_figures/roussos_2024.adolescence.Astrocyte/rs10260150_count_position.png",4,220,900)</f>
        <v/>
      </c>
      <c r="T3815">
        <f>IMAGE("https://mitra.stanford.edu/kundaje/oak/projects/neuro-variants/variant_position/credible/roussos_2024/variant_figures/roussos_2024.adolescence.Astrocyte/rs10260150_profile_position.png",4,220,900)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0.0454803142</v>
      </c>
      <c r="G3816" t="n">
        <v>0.3084556469880911</v>
      </c>
      <c r="H3816" t="n">
        <v>0.0165195804321172</v>
      </c>
      <c r="I3816" t="n">
        <v>0.2718931355556825</v>
      </c>
      <c r="J3816" t="n">
        <v>0.0403717769931459</v>
      </c>
      <c r="K3816" t="n">
        <v>0.4898392744473084</v>
      </c>
      <c r="L3816" t="b">
        <v>0</v>
      </c>
      <c r="M3816" t="b">
        <v>0</v>
      </c>
      <c r="N3816" t="inlineStr">
        <is>
          <t>alt</t>
        </is>
      </c>
      <c r="O3816" t="n">
        <v>5</v>
      </c>
      <c r="P3816" t="n">
        <v>0.0009345999999999999</v>
      </c>
      <c r="Q3816" t="n">
        <v>30</v>
      </c>
      <c r="R3816" t="n">
        <v>0.01044</v>
      </c>
      <c r="S3816">
        <f>IMAGE("https://mitra.stanford.edu/kundaje/oak/projects/neuro-variants/variant_position/credible/roussos_2024/variant_figures/roussos_2024.adolescence.Astrocyte/rs11772439_count_position.png",4,220,900)</f>
        <v/>
      </c>
      <c r="T3816">
        <f>IMAGE("https://mitra.stanford.edu/kundaje/oak/projects/neuro-variants/variant_position/credible/roussos_2024/variant_figures/roussos_2024.adolescence.Astrocyte/rs11772439_profile_position.png",4,220,900)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-0.0771816486</v>
      </c>
      <c r="G3817" t="n">
        <v>0.1282654823571472</v>
      </c>
      <c r="H3817" t="n">
        <v>0.0139762447816594</v>
      </c>
      <c r="I3817" t="n">
        <v>0.3793632957670628</v>
      </c>
      <c r="J3817" t="n">
        <v>0.1659822567723941</v>
      </c>
      <c r="K3817" t="n">
        <v>0.2507871636223526</v>
      </c>
      <c r="L3817" t="b">
        <v>0</v>
      </c>
      <c r="M3817" t="b">
        <v>0</v>
      </c>
      <c r="N3817" t="inlineStr">
        <is>
          <t>ref</t>
        </is>
      </c>
      <c r="O3817" t="n">
        <v>-85</v>
      </c>
      <c r="P3817" t="n">
        <v>0.002197</v>
      </c>
      <c r="Q3817" t="n">
        <v>-70</v>
      </c>
      <c r="R3817" t="n">
        <v>0.2234</v>
      </c>
      <c r="S3817">
        <f>IMAGE("https://mitra.stanford.edu/kundaje/oak/projects/neuro-variants/variant_position/credible/roussos_2024/variant_figures/roussos_2024.adolescence.Astrocyte/rs10954356_count_position.png",4,220,900)</f>
        <v/>
      </c>
      <c r="T3817">
        <f>IMAGE("https://mitra.stanford.edu/kundaje/oak/projects/neuro-variants/variant_position/credible/roussos_2024/variant_figures/roussos_2024.adolescence.Astrocyte/rs10954356_profile_position.png",4,220,900)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0.02895094174</v>
      </c>
      <c r="G3818" t="n">
        <v>0.1907535159133441</v>
      </c>
      <c r="H3818" t="n">
        <v>0.0647751626770588</v>
      </c>
      <c r="I3818" t="n">
        <v>0.0019180117613078</v>
      </c>
      <c r="J3818" t="n">
        <v>0.8759242500667597</v>
      </c>
      <c r="K3818" t="n">
        <v>0.0027248889855163</v>
      </c>
      <c r="L3818" t="b">
        <v>1</v>
      </c>
      <c r="M3818" t="b">
        <v>1</v>
      </c>
      <c r="N3818" t="inlineStr">
        <is>
          <t>alt</t>
        </is>
      </c>
      <c r="O3818" t="n">
        <v>95</v>
      </c>
      <c r="P3818" t="n">
        <v>0.0304</v>
      </c>
      <c r="Q3818" t="n">
        <v>90</v>
      </c>
      <c r="R3818" t="n">
        <v>0.334</v>
      </c>
      <c r="S3818">
        <f>IMAGE("https://mitra.stanford.edu/kundaje/oak/projects/neuro-variants/variant_position/credible/roussos_2024/variant_figures/roussos_2024.adolescence.Astrocyte/rs2122635_count_position.png",4,220,900)</f>
        <v/>
      </c>
      <c r="T3818">
        <f>IMAGE("https://mitra.stanford.edu/kundaje/oak/projects/neuro-variants/variant_position/credible/roussos_2024/variant_figures/roussos_2024.adolescence.Astrocyte/rs2122635_profile_position.png",4,220,900)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-0.0301849957</v>
      </c>
      <c r="G3819" t="n">
        <v>0.3157884939856288</v>
      </c>
      <c r="H3819" t="n">
        <v>0.0253630301907698</v>
      </c>
      <c r="I3819" t="n">
        <v>0.0611171832476002</v>
      </c>
      <c r="J3819" t="n">
        <v>0.0115086194107348</v>
      </c>
      <c r="K3819" t="n">
        <v>0.6711168527512656</v>
      </c>
      <c r="L3819" t="b">
        <v>0</v>
      </c>
      <c r="M3819" t="b">
        <v>0</v>
      </c>
      <c r="N3819" t="inlineStr">
        <is>
          <t>ref</t>
        </is>
      </c>
      <c r="O3819" t="n">
        <v>-20</v>
      </c>
      <c r="P3819" t="n">
        <v>0.002563</v>
      </c>
      <c r="Q3819" t="n">
        <v>-35</v>
      </c>
      <c r="R3819" t="n">
        <v>0.05396</v>
      </c>
      <c r="S3819">
        <f>IMAGE("https://mitra.stanford.edu/kundaje/oak/projects/neuro-variants/variant_position/credible/roussos_2024/variant_figures/roussos_2024.adolescence.Astrocyte/rs11771579_count_position.png",4,220,900)</f>
        <v/>
      </c>
      <c r="T3819">
        <f>IMAGE("https://mitra.stanford.edu/kundaje/oak/projects/neuro-variants/variant_position/credible/roussos_2024/variant_figures/roussos_2024.adolescence.Astrocyte/rs11771579_profile_position.png",4,220,900)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0.0219265726</v>
      </c>
      <c r="G3820" t="n">
        <v>0.5002931672436499</v>
      </c>
      <c r="H3820" t="n">
        <v>0.0107033516926495</v>
      </c>
      <c r="I3820" t="n">
        <v>0.6807125402386969</v>
      </c>
      <c r="J3820" t="n">
        <v>0.0062130967569652</v>
      </c>
      <c r="K3820" t="n">
        <v>0.7194568767755423</v>
      </c>
      <c r="L3820" t="b">
        <v>0</v>
      </c>
      <c r="M3820" t="b">
        <v>0</v>
      </c>
      <c r="N3820" t="inlineStr">
        <is>
          <t>alt</t>
        </is>
      </c>
      <c r="O3820" t="n">
        <v>15</v>
      </c>
      <c r="P3820" t="n">
        <v>0.002075</v>
      </c>
      <c r="Q3820" t="n">
        <v>-100</v>
      </c>
      <c r="R3820" t="n">
        <v>0.11127</v>
      </c>
      <c r="S3820">
        <f>IMAGE("https://mitra.stanford.edu/kundaje/oak/projects/neuro-variants/variant_position/credible/roussos_2024/variant_figures/roussos_2024.adolescence.Astrocyte/rs4518583_count_position.png",4,220,900)</f>
        <v/>
      </c>
      <c r="T3820">
        <f>IMAGE("https://mitra.stanford.edu/kundaje/oak/projects/neuro-variants/variant_position/credible/roussos_2024/variant_figures/roussos_2024.adolescence.Astrocyte/rs4518583_profile_position.png",4,220,900)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2.898861799999997e-05</v>
      </c>
      <c r="G3821" t="n">
        <v>0.9686330616683728</v>
      </c>
      <c r="H3821" t="n">
        <v>0.0237114655356335</v>
      </c>
      <c r="I3821" t="n">
        <v>0.0757884918619582</v>
      </c>
      <c r="J3821" t="n">
        <v>0.0066003026436815</v>
      </c>
      <c r="K3821" t="n">
        <v>0.7043509647961039</v>
      </c>
      <c r="L3821" t="b">
        <v>0</v>
      </c>
      <c r="M3821" t="b">
        <v>0</v>
      </c>
      <c r="N3821" t="inlineStr">
        <is>
          <t>alt</t>
        </is>
      </c>
      <c r="O3821" t="n">
        <v>95</v>
      </c>
      <c r="P3821" t="n">
        <v>0.01013</v>
      </c>
      <c r="Q3821" t="n">
        <v>95</v>
      </c>
      <c r="R3821" t="n">
        <v>0.0867</v>
      </c>
      <c r="S3821">
        <f>IMAGE("https://mitra.stanford.edu/kundaje/oak/projects/neuro-variants/variant_position/credible/roussos_2024/variant_figures/roussos_2024.adolescence.Astrocyte/rs728055_count_position.png",4,220,900)</f>
        <v/>
      </c>
      <c r="T3821">
        <f>IMAGE("https://mitra.stanford.edu/kundaje/oak/projects/neuro-variants/variant_position/credible/roussos_2024/variant_figures/roussos_2024.adolescence.Astrocyte/rs728055_profile_position.png",4,220,900)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-0.0638067016</v>
      </c>
      <c r="G3822" t="n">
        <v>0.1882406209061044</v>
      </c>
      <c r="H3822" t="n">
        <v>0.0127901637244507</v>
      </c>
      <c r="I3822" t="n">
        <v>0.4656025619181663</v>
      </c>
      <c r="J3822" t="n">
        <v>0.0095102809838886</v>
      </c>
      <c r="K3822" t="n">
        <v>0.6751694488911352</v>
      </c>
      <c r="L3822" t="b">
        <v>0</v>
      </c>
      <c r="M3822" t="b">
        <v>0</v>
      </c>
      <c r="N3822" t="inlineStr">
        <is>
          <t>ref</t>
        </is>
      </c>
      <c r="O3822" t="n">
        <v>95</v>
      </c>
      <c r="P3822" t="n">
        <v>0.004776</v>
      </c>
      <c r="Q3822" t="n">
        <v>95</v>
      </c>
      <c r="R3822" t="n">
        <v>0.0534</v>
      </c>
      <c r="S3822">
        <f>IMAGE("https://mitra.stanford.edu/kundaje/oak/projects/neuro-variants/variant_position/credible/roussos_2024/variant_figures/roussos_2024.adolescence.Astrocyte/rs2278829_count_position.png",4,220,900)</f>
        <v/>
      </c>
      <c r="T3822">
        <f>IMAGE("https://mitra.stanford.edu/kundaje/oak/projects/neuro-variants/variant_position/credible/roussos_2024/variant_figures/roussos_2024.adolescence.Astrocyte/rs2278829_profile_position.png",4,220,900)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0.0042079781999999</v>
      </c>
      <c r="G3823" t="n">
        <v>0.7089410467888724</v>
      </c>
      <c r="H3823" t="n">
        <v>0.028292791714071</v>
      </c>
      <c r="I3823" t="n">
        <v>0.0396429079094578</v>
      </c>
      <c r="J3823" t="n">
        <v>0.1267016289351095</v>
      </c>
      <c r="K3823" t="n">
        <v>0.287696142643976</v>
      </c>
      <c r="L3823" t="b">
        <v>0</v>
      </c>
      <c r="M3823" t="b">
        <v>0</v>
      </c>
      <c r="N3823" t="inlineStr">
        <is>
          <t>alt</t>
        </is>
      </c>
      <c r="O3823" t="n">
        <v>100</v>
      </c>
      <c r="P3823" t="n">
        <v>0.04974</v>
      </c>
      <c r="Q3823" t="n">
        <v>100</v>
      </c>
      <c r="R3823" t="n">
        <v>0.6895</v>
      </c>
      <c r="S3823">
        <f>IMAGE("https://mitra.stanford.edu/kundaje/oak/projects/neuro-variants/variant_position/credible/roussos_2024/variant_figures/roussos_2024.adolescence.Astrocyte/rs7779548_count_position.png",4,220,900)</f>
        <v/>
      </c>
      <c r="T3823">
        <f>IMAGE("https://mitra.stanford.edu/kundaje/oak/projects/neuro-variants/variant_position/credible/roussos_2024/variant_figures/roussos_2024.adolescence.Astrocyte/rs7779548_profile_position.png",4,220,900)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0.0111061482</v>
      </c>
      <c r="G3824" t="n">
        <v>0.7204090880320255</v>
      </c>
      <c r="H3824" t="n">
        <v>0.0269035280066734</v>
      </c>
      <c r="I3824" t="n">
        <v>0.0477819394616476</v>
      </c>
      <c r="J3824" t="n">
        <v>0.012242975402783</v>
      </c>
      <c r="K3824" t="n">
        <v>0.6394866612083568</v>
      </c>
      <c r="L3824" t="b">
        <v>0</v>
      </c>
      <c r="M3824" t="b">
        <v>0</v>
      </c>
      <c r="N3824" t="inlineStr">
        <is>
          <t>alt</t>
        </is>
      </c>
      <c r="O3824" t="n">
        <v>100</v>
      </c>
      <c r="P3824" t="n">
        <v>0.00945</v>
      </c>
      <c r="Q3824" t="n">
        <v>25</v>
      </c>
      <c r="R3824" t="n">
        <v>0.03943</v>
      </c>
      <c r="S3824">
        <f>IMAGE("https://mitra.stanford.edu/kundaje/oak/projects/neuro-variants/variant_position/credible/roussos_2024/variant_figures/roussos_2024.adolescence.Astrocyte/rs11766321_count_position.png",4,220,900)</f>
        <v/>
      </c>
      <c r="T3824">
        <f>IMAGE("https://mitra.stanford.edu/kundaje/oak/projects/neuro-variants/variant_position/credible/roussos_2024/variant_figures/roussos_2024.adolescence.Astrocyte/rs11766321_profile_position.png",4,220,900)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0.181268783</v>
      </c>
      <c r="G3825" t="n">
        <v>0.024671686046468</v>
      </c>
      <c r="H3825" t="n">
        <v>0.0241566099654567</v>
      </c>
      <c r="I3825" t="n">
        <v>0.07331546370557381</v>
      </c>
      <c r="J3825" t="n">
        <v>0.0583724000830786</v>
      </c>
      <c r="K3825" t="n">
        <v>0.4272867905129301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0.06683</v>
      </c>
      <c r="Q3825" t="n">
        <v>-90</v>
      </c>
      <c r="R3825" t="n">
        <v>0.1686</v>
      </c>
      <c r="S3825">
        <f>IMAGE("https://mitra.stanford.edu/kundaje/oak/projects/neuro-variants/variant_position/credible/roussos_2024/variant_figures/roussos_2024.adolescence.Astrocyte/rs13222414_count_position.png",4,220,900)</f>
        <v/>
      </c>
      <c r="T3825">
        <f>IMAGE("https://mitra.stanford.edu/kundaje/oak/projects/neuro-variants/variant_position/credible/roussos_2024/variant_figures/roussos_2024.adolescence.Astrocyte/rs13222414_profile_position.png",4,220,900)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0.0777923296</v>
      </c>
      <c r="G3826" t="n">
        <v>0.1280647010150088</v>
      </c>
      <c r="H3826" t="n">
        <v>0.0124774801454343</v>
      </c>
      <c r="I3826" t="n">
        <v>0.5134472082858659</v>
      </c>
      <c r="J3826" t="n">
        <v>0.0190776785449366</v>
      </c>
      <c r="K3826" t="n">
        <v>0.5753261523233717</v>
      </c>
      <c r="L3826" t="b">
        <v>0</v>
      </c>
      <c r="M3826" t="b">
        <v>0</v>
      </c>
      <c r="N3826" t="inlineStr">
        <is>
          <t>alt</t>
        </is>
      </c>
      <c r="O3826" t="n">
        <v>80</v>
      </c>
      <c r="P3826" t="n">
        <v>0.00877</v>
      </c>
      <c r="Q3826" t="n">
        <v>100</v>
      </c>
      <c r="R3826" t="n">
        <v>0.1086</v>
      </c>
      <c r="S3826">
        <f>IMAGE("https://mitra.stanford.edu/kundaje/oak/projects/neuro-variants/variant_position/credible/roussos_2024/variant_figures/roussos_2024.adolescence.Astrocyte/rs17530005_count_position.png",4,220,900)</f>
        <v/>
      </c>
      <c r="T3826">
        <f>IMAGE("https://mitra.stanford.edu/kundaje/oak/projects/neuro-variants/variant_position/credible/roussos_2024/variant_figures/roussos_2024.adolescence.Astrocyte/rs17530005_profile_position.png",4,220,900)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-0.0232632218</v>
      </c>
      <c r="G3827" t="n">
        <v>0.5009119248396728</v>
      </c>
      <c r="H3827" t="n">
        <v>0.0149024925096756</v>
      </c>
      <c r="I3827" t="n">
        <v>0.3314075308388038</v>
      </c>
      <c r="J3827" t="n">
        <v>0.0020836424057204</v>
      </c>
      <c r="K3827" t="n">
        <v>0.8158589456055363</v>
      </c>
      <c r="L3827" t="b">
        <v>0</v>
      </c>
      <c r="M3827" t="b">
        <v>0</v>
      </c>
      <c r="N3827" t="inlineStr">
        <is>
          <t>ref</t>
        </is>
      </c>
      <c r="O3827" t="n">
        <v>85</v>
      </c>
      <c r="P3827" t="n">
        <v>0.03256</v>
      </c>
      <c r="Q3827" t="n">
        <v>100</v>
      </c>
      <c r="R3827" t="n">
        <v>0.1814</v>
      </c>
      <c r="S3827">
        <f>IMAGE("https://mitra.stanford.edu/kundaje/oak/projects/neuro-variants/variant_position/credible/roussos_2024/variant_figures/roussos_2024.adolescence.Astrocyte/rs7801613_count_position.png",4,220,900)</f>
        <v/>
      </c>
      <c r="T3827">
        <f>IMAGE("https://mitra.stanford.edu/kundaje/oak/projects/neuro-variants/variant_position/credible/roussos_2024/variant_figures/roussos_2024.adolescence.Astrocyte/rs7801613_profile_position.png",4,220,900)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-0.0223012566</v>
      </c>
      <c r="G3828" t="n">
        <v>0.5351645915771893</v>
      </c>
      <c r="H3828" t="n">
        <v>0.0292807533397244</v>
      </c>
      <c r="I3828" t="n">
        <v>0.0343101426396824</v>
      </c>
      <c r="J3828" t="n">
        <v>0.0027764590689255</v>
      </c>
      <c r="K3828" t="n">
        <v>0.7917829679766357</v>
      </c>
      <c r="L3828" t="b">
        <v>0</v>
      </c>
      <c r="M3828" t="b">
        <v>0</v>
      </c>
      <c r="N3828" t="inlineStr">
        <is>
          <t>ref</t>
        </is>
      </c>
      <c r="O3828" t="n">
        <v>-100</v>
      </c>
      <c r="P3828" t="n">
        <v>0.01453</v>
      </c>
      <c r="Q3828" t="n">
        <v>-70</v>
      </c>
      <c r="R3828" t="n">
        <v>0.11786</v>
      </c>
      <c r="S3828">
        <f>IMAGE("https://mitra.stanford.edu/kundaje/oak/projects/neuro-variants/variant_position/credible/roussos_2024/variant_figures/roussos_2024.adolescence.Astrocyte/rs6942519_count_position.png",4,220,900)</f>
        <v/>
      </c>
      <c r="T3828">
        <f>IMAGE("https://mitra.stanford.edu/kundaje/oak/projects/neuro-variants/variant_position/credible/roussos_2024/variant_figures/roussos_2024.adolescence.Astrocyte/rs6942519_profile_position.png",4,220,900)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0.00403787974</v>
      </c>
      <c r="G3829" t="n">
        <v>0.6529235209265319</v>
      </c>
      <c r="H3829" t="n">
        <v>0.0336639099167147</v>
      </c>
      <c r="I3829" t="n">
        <v>0.0194447286096282</v>
      </c>
      <c r="J3829" t="n">
        <v>0.0033491083879772</v>
      </c>
      <c r="K3829" t="n">
        <v>0.7843669755758859</v>
      </c>
      <c r="L3829" t="b">
        <v>0</v>
      </c>
      <c r="M3829" t="b">
        <v>0</v>
      </c>
      <c r="N3829" t="inlineStr">
        <is>
          <t>alt</t>
        </is>
      </c>
      <c r="O3829" t="n">
        <v>-95</v>
      </c>
      <c r="P3829" t="n">
        <v>0.01852</v>
      </c>
      <c r="Q3829" t="n">
        <v>75</v>
      </c>
      <c r="R3829" t="n">
        <v>0.03754</v>
      </c>
      <c r="S3829">
        <f>IMAGE("https://mitra.stanford.edu/kundaje/oak/projects/neuro-variants/variant_position/credible/roussos_2024/variant_figures/roussos_2024.adolescence.Astrocyte/rs2355784_count_position.png",4,220,900)</f>
        <v/>
      </c>
      <c r="T3829">
        <f>IMAGE("https://mitra.stanford.edu/kundaje/oak/projects/neuro-variants/variant_position/credible/roussos_2024/variant_figures/roussos_2024.adolescence.Astrocyte/rs2355784_profile_position.png",4,220,900)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-0.01415596204</v>
      </c>
      <c r="G3830" t="n">
        <v>0.4399293407565996</v>
      </c>
      <c r="H3830" t="n">
        <v>0.0469430934052428</v>
      </c>
      <c r="I3830" t="n">
        <v>0.0050283158291513</v>
      </c>
      <c r="J3830" t="n">
        <v>0.0017988012936533</v>
      </c>
      <c r="K3830" t="n">
        <v>0.8266830345257177</v>
      </c>
      <c r="L3830" t="b">
        <v>0</v>
      </c>
      <c r="M3830" t="b">
        <v>0</v>
      </c>
      <c r="N3830" t="inlineStr">
        <is>
          <t>ref</t>
        </is>
      </c>
      <c r="O3830" t="n">
        <v>60</v>
      </c>
      <c r="P3830" t="n">
        <v>0.005188</v>
      </c>
      <c r="Q3830" t="n">
        <v>65</v>
      </c>
      <c r="R3830" t="n">
        <v>0.1003</v>
      </c>
      <c r="S3830">
        <f>IMAGE("https://mitra.stanford.edu/kundaje/oak/projects/neuro-variants/variant_position/credible/roussos_2024/variant_figures/roussos_2024.adolescence.Astrocyte/rs10230398_count_position.png",4,220,900)</f>
        <v/>
      </c>
      <c r="T3830">
        <f>IMAGE("https://mitra.stanford.edu/kundaje/oak/projects/neuro-variants/variant_position/credible/roussos_2024/variant_figures/roussos_2024.adolescence.Astrocyte/rs10230398_profile_position.png",4,220,900)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-0.1014019818</v>
      </c>
      <c r="G3831" t="n">
        <v>0.0798850830071061</v>
      </c>
      <c r="H3831" t="n">
        <v>0.0154674702525569</v>
      </c>
      <c r="I3831" t="n">
        <v>0.301685125957133</v>
      </c>
      <c r="J3831" t="n">
        <v>0.0001379699136574</v>
      </c>
      <c r="K3831" t="n">
        <v>0.9702815514300784</v>
      </c>
      <c r="L3831" t="b">
        <v>0</v>
      </c>
      <c r="M3831" t="b">
        <v>0</v>
      </c>
      <c r="N3831" t="inlineStr">
        <is>
          <t>ref</t>
        </is>
      </c>
      <c r="O3831" t="n">
        <v>-45</v>
      </c>
      <c r="P3831" t="n">
        <v>0.062</v>
      </c>
      <c r="Q3831" t="n">
        <v>100</v>
      </c>
      <c r="R3831" t="n">
        <v>0.2622</v>
      </c>
      <c r="S3831">
        <f>IMAGE("https://mitra.stanford.edu/kundaje/oak/projects/neuro-variants/variant_position/credible/roussos_2024/variant_figures/roussos_2024.adolescence.Astrocyte/rs801089_count_position.png",4,220,900)</f>
        <v/>
      </c>
      <c r="T3831">
        <f>IMAGE("https://mitra.stanford.edu/kundaje/oak/projects/neuro-variants/variant_position/credible/roussos_2024/variant_figures/roussos_2024.adolescence.Astrocyte/rs801089_profile_position.png",4,220,900)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0.06809739946</v>
      </c>
      <c r="G3832" t="n">
        <v>0.1841564629492241</v>
      </c>
      <c r="H3832" t="n">
        <v>0.016341899500838</v>
      </c>
      <c r="I3832" t="n">
        <v>0.2681824287870318</v>
      </c>
      <c r="J3832" t="n">
        <v>0.0246268878141411</v>
      </c>
      <c r="K3832" t="n">
        <v>0.5455975143986046</v>
      </c>
      <c r="L3832" t="b">
        <v>0</v>
      </c>
      <c r="M3832" t="b">
        <v>0</v>
      </c>
      <c r="N3832" t="inlineStr">
        <is>
          <t>alt</t>
        </is>
      </c>
      <c r="O3832" t="n">
        <v>95</v>
      </c>
      <c r="P3832" t="n">
        <v>0.01296</v>
      </c>
      <c r="Q3832" t="n">
        <v>15</v>
      </c>
      <c r="R3832" t="n">
        <v>0.031</v>
      </c>
      <c r="S3832">
        <f>IMAGE("https://mitra.stanford.edu/kundaje/oak/projects/neuro-variants/variant_position/credible/roussos_2024/variant_figures/roussos_2024.adolescence.Astrocyte/rs6662_count_position.png",4,220,900)</f>
        <v/>
      </c>
      <c r="T3832">
        <f>IMAGE("https://mitra.stanford.edu/kundaje/oak/projects/neuro-variants/variant_position/credible/roussos_2024/variant_figures/roussos_2024.adolescence.Astrocyte/rs6662_profile_position.png",4,220,900)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0.041423198</v>
      </c>
      <c r="G3833" t="n">
        <v>0.2812548586459163</v>
      </c>
      <c r="H3833" t="n">
        <v>0.0115132900021971</v>
      </c>
      <c r="I3833" t="n">
        <v>0.6040548497929417</v>
      </c>
      <c r="J3833" t="n">
        <v>0.0094820935821736</v>
      </c>
      <c r="K3833" t="n">
        <v>0.6839973316046083</v>
      </c>
      <c r="L3833" t="b">
        <v>0</v>
      </c>
      <c r="M3833" t="b">
        <v>0</v>
      </c>
      <c r="N3833" t="inlineStr">
        <is>
          <t>alt</t>
        </is>
      </c>
      <c r="O3833" t="n">
        <v>-70</v>
      </c>
      <c r="P3833" t="n">
        <v>0.002375</v>
      </c>
      <c r="Q3833" t="n">
        <v>50</v>
      </c>
      <c r="R3833" t="n">
        <v>0.08989999999999999</v>
      </c>
      <c r="S3833">
        <f>IMAGE("https://mitra.stanford.edu/kundaje/oak/projects/neuro-variants/variant_position/credible/roussos_2024/variant_figures/roussos_2024.adolescence.Astrocyte/rs246745_count_position.png",4,220,900)</f>
        <v/>
      </c>
      <c r="T3833">
        <f>IMAGE("https://mitra.stanford.edu/kundaje/oak/projects/neuro-variants/variant_position/credible/roussos_2024/variant_figures/roussos_2024.adolescence.Astrocyte/rs246745_profile_position.png",4,220,900)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0.058694773</v>
      </c>
      <c r="G3834" t="n">
        <v>0.2077355265340547</v>
      </c>
      <c r="H3834" t="n">
        <v>0.0124748918197381</v>
      </c>
      <c r="I3834" t="n">
        <v>0.5022984819587559</v>
      </c>
      <c r="J3834" t="n">
        <v>0.0005400112749606</v>
      </c>
      <c r="K3834" t="n">
        <v>0.930168848348372</v>
      </c>
      <c r="L3834" t="b">
        <v>0</v>
      </c>
      <c r="M3834" t="b">
        <v>0</v>
      </c>
      <c r="N3834" t="inlineStr">
        <is>
          <t>alt</t>
        </is>
      </c>
      <c r="O3834" t="n">
        <v>-80</v>
      </c>
      <c r="P3834" t="n">
        <v>0.005726</v>
      </c>
      <c r="Q3834" t="n">
        <v>-80</v>
      </c>
      <c r="R3834" t="n">
        <v>0.1443</v>
      </c>
      <c r="S3834">
        <f>IMAGE("https://mitra.stanford.edu/kundaje/oak/projects/neuro-variants/variant_position/credible/roussos_2024/variant_figures/roussos_2024.adolescence.Astrocyte/rs1089258_count_position.png",4,220,900)</f>
        <v/>
      </c>
      <c r="T3834">
        <f>IMAGE("https://mitra.stanford.edu/kundaje/oak/projects/neuro-variants/variant_position/credible/roussos_2024/variant_figures/roussos_2024.adolescence.Astrocyte/rs1089258_profile_position.png",4,220,900)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-0.0515048168</v>
      </c>
      <c r="G3835" t="n">
        <v>0.2298286448394641</v>
      </c>
      <c r="H3835" t="n">
        <v>0.0123962405280118</v>
      </c>
      <c r="I3835" t="n">
        <v>0.5029236542607339</v>
      </c>
      <c r="J3835" t="n">
        <v>0.4228214105569236</v>
      </c>
      <c r="K3835" t="n">
        <v>0.0799368103607097</v>
      </c>
      <c r="L3835" t="b">
        <v>0</v>
      </c>
      <c r="M3835" t="b">
        <v>0</v>
      </c>
      <c r="N3835" t="inlineStr">
        <is>
          <t>ref</t>
        </is>
      </c>
      <c r="O3835" t="n">
        <v>-60</v>
      </c>
      <c r="P3835" t="n">
        <v>0.01254</v>
      </c>
      <c r="Q3835" t="n">
        <v>-100</v>
      </c>
      <c r="R3835" t="n">
        <v>0.2185</v>
      </c>
      <c r="S3835">
        <f>IMAGE("https://mitra.stanford.edu/kundaje/oak/projects/neuro-variants/variant_position/credible/roussos_2024/variant_figures/roussos_2024.adolescence.Astrocyte/rs10241251_count_position.png",4,220,900)</f>
        <v/>
      </c>
      <c r="T3835">
        <f>IMAGE("https://mitra.stanford.edu/kundaje/oak/projects/neuro-variants/variant_position/credible/roussos_2024/variant_figures/roussos_2024.adolescence.Astrocyte/rs10241251_profile_position.png",4,220,900)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-0.0308523085</v>
      </c>
      <c r="G3836" t="n">
        <v>0.4160047932989191</v>
      </c>
      <c r="H3836" t="n">
        <v>0.0104706523246126</v>
      </c>
      <c r="I3836" t="n">
        <v>0.6734118798815637</v>
      </c>
      <c r="J3836" t="n">
        <v>0.2361102869180785</v>
      </c>
      <c r="K3836" t="n">
        <v>0.1763733322569059</v>
      </c>
      <c r="L3836" t="b">
        <v>0</v>
      </c>
      <c r="M3836" t="b">
        <v>0</v>
      </c>
      <c r="N3836" t="inlineStr">
        <is>
          <t>ref</t>
        </is>
      </c>
      <c r="O3836" t="n">
        <v>-5</v>
      </c>
      <c r="P3836" t="n">
        <v>0.003086</v>
      </c>
      <c r="Q3836" t="n">
        <v>-25</v>
      </c>
      <c r="R3836" t="n">
        <v>0.0273</v>
      </c>
      <c r="S3836">
        <f>IMAGE("https://mitra.stanford.edu/kundaje/oak/projects/neuro-variants/variant_position/credible/roussos_2024/variant_figures/roussos_2024.adolescence.Astrocyte/rs10244667_count_position.png",4,220,900)</f>
        <v/>
      </c>
      <c r="T3836">
        <f>IMAGE("https://mitra.stanford.edu/kundaje/oak/projects/neuro-variants/variant_position/credible/roussos_2024/variant_figures/roussos_2024.adolescence.Astrocyte/rs10244667_profile_position.png",4,220,900)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-0.0457365258</v>
      </c>
      <c r="G3837" t="n">
        <v>0.2695880911299497</v>
      </c>
      <c r="H3837" t="n">
        <v>0.0131181060794513</v>
      </c>
      <c r="I3837" t="n">
        <v>0.455786896128682</v>
      </c>
      <c r="J3837" t="n">
        <v>0.0756772394148888</v>
      </c>
      <c r="K3837" t="n">
        <v>0.3866009132288986</v>
      </c>
      <c r="L3837" t="b">
        <v>0</v>
      </c>
      <c r="M3837" t="b">
        <v>0</v>
      </c>
      <c r="N3837" t="inlineStr">
        <is>
          <t>ref</t>
        </is>
      </c>
      <c r="O3837" t="n">
        <v>100</v>
      </c>
      <c r="P3837" t="n">
        <v>0.008484</v>
      </c>
      <c r="Q3837" t="n">
        <v>85</v>
      </c>
      <c r="R3837" t="n">
        <v>0.10077</v>
      </c>
      <c r="S3837">
        <f>IMAGE("https://mitra.stanford.edu/kundaje/oak/projects/neuro-variants/variant_position/credible/roussos_2024/variant_figures/roussos_2024.adolescence.Astrocyte/rs2366647_count_position.png",4,220,900)</f>
        <v/>
      </c>
      <c r="T3837">
        <f>IMAGE("https://mitra.stanford.edu/kundaje/oak/projects/neuro-variants/variant_position/credible/roussos_2024/variant_figures/roussos_2024.adolescence.Astrocyte/rs2366647_profile_position.png",4,220,900)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-0.20096345</v>
      </c>
      <c r="G3838" t="n">
        <v>0.0192870901622719</v>
      </c>
      <c r="H3838" t="n">
        <v>0.0297009106173558</v>
      </c>
      <c r="I3838" t="n">
        <v>0.0350888075269053</v>
      </c>
      <c r="J3838" t="n">
        <v>0.1354367563718362</v>
      </c>
      <c r="K3838" t="n">
        <v>0.2734508711760525</v>
      </c>
      <c r="L3838" t="b">
        <v>1</v>
      </c>
      <c r="M3838" t="b">
        <v>0</v>
      </c>
      <c r="N3838" t="inlineStr">
        <is>
          <t>ref</t>
        </is>
      </c>
      <c r="O3838" t="n">
        <v>-25</v>
      </c>
      <c r="P3838" t="n">
        <v>0.00364</v>
      </c>
      <c r="Q3838" t="n">
        <v>-15</v>
      </c>
      <c r="R3838" t="n">
        <v>0.05896</v>
      </c>
      <c r="S3838">
        <f>IMAGE("https://mitra.stanford.edu/kundaje/oak/projects/neuro-variants/variant_position/credible/roussos_2024/variant_figures/roussos_2024.adolescence.Astrocyte/rs13261217_count_position.png",4,220,900)</f>
        <v/>
      </c>
      <c r="T3838">
        <f>IMAGE("https://mitra.stanford.edu/kundaje/oak/projects/neuro-variants/variant_position/credible/roussos_2024/variant_figures/roussos_2024.adolescence.Astrocyte/rs13261217_profile_position.png",4,220,900)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0.0590910826</v>
      </c>
      <c r="G3839" t="n">
        <v>0.1806417613934451</v>
      </c>
      <c r="H3839" t="n">
        <v>0.0120412444173568</v>
      </c>
      <c r="I3839" t="n">
        <v>0.5512121385832252</v>
      </c>
      <c r="J3839" t="n">
        <v>0.0296182832388807</v>
      </c>
      <c r="K3839" t="n">
        <v>0.5149340254435376</v>
      </c>
      <c r="L3839" t="b">
        <v>0</v>
      </c>
      <c r="M3839" t="b">
        <v>0</v>
      </c>
      <c r="N3839" t="inlineStr">
        <is>
          <t>alt</t>
        </is>
      </c>
      <c r="O3839" t="n">
        <v>-80</v>
      </c>
      <c r="P3839" t="n">
        <v>0.01593</v>
      </c>
      <c r="Q3839" t="n">
        <v>-15</v>
      </c>
      <c r="R3839" t="n">
        <v>0.07117</v>
      </c>
      <c r="S3839">
        <f>IMAGE("https://mitra.stanford.edu/kundaje/oak/projects/neuro-variants/variant_position/credible/roussos_2024/variant_figures/roussos_2024.adolescence.Astrocyte/rs7813162_count_position.png",4,220,900)</f>
        <v/>
      </c>
      <c r="T3839">
        <f>IMAGE("https://mitra.stanford.edu/kundaje/oak/projects/neuro-variants/variant_position/credible/roussos_2024/variant_figures/roussos_2024.adolescence.Astrocyte/rs7813162_profile_position.png",4,220,900)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0.01829426466</v>
      </c>
      <c r="G3840" t="n">
        <v>0.5805610163078258</v>
      </c>
      <c r="H3840" t="n">
        <v>0.0102014640936002</v>
      </c>
      <c r="I3840" t="n">
        <v>0.7429914648663472</v>
      </c>
      <c r="J3840" t="n">
        <v>0.0358625344924783</v>
      </c>
      <c r="K3840" t="n">
        <v>0.4856512191160874</v>
      </c>
      <c r="L3840" t="b">
        <v>0</v>
      </c>
      <c r="M3840" t="b">
        <v>0</v>
      </c>
      <c r="N3840" t="inlineStr">
        <is>
          <t>alt</t>
        </is>
      </c>
      <c r="O3840" t="n">
        <v>85</v>
      </c>
      <c r="P3840" t="n">
        <v>0.00568</v>
      </c>
      <c r="Q3840" t="n">
        <v>70</v>
      </c>
      <c r="R3840" t="n">
        <v>0.06616</v>
      </c>
      <c r="S3840">
        <f>IMAGE("https://mitra.stanford.edu/kundaje/oak/projects/neuro-variants/variant_position/credible/roussos_2024/variant_figures/roussos_2024.adolescence.Astrocyte/rs1230767_count_position.png",4,220,900)</f>
        <v/>
      </c>
      <c r="T3840">
        <f>IMAGE("https://mitra.stanford.edu/kundaje/oak/projects/neuro-variants/variant_position/credible/roussos_2024/variant_figures/roussos_2024.adolescence.Astrocyte/rs1230767_profile_position.png",4,220,900)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-0.02153253</v>
      </c>
      <c r="G3841" t="n">
        <v>0.2744387431859796</v>
      </c>
      <c r="H3841" t="n">
        <v>0.0116990487958595</v>
      </c>
      <c r="I3841" t="n">
        <v>0.5627023255316581</v>
      </c>
      <c r="J3841" t="n">
        <v>0.0182023855443135</v>
      </c>
      <c r="K3841" t="n">
        <v>0.5879133219137612</v>
      </c>
      <c r="L3841" t="b">
        <v>0</v>
      </c>
      <c r="M3841" t="b">
        <v>0</v>
      </c>
      <c r="N3841" t="inlineStr">
        <is>
          <t>ref</t>
        </is>
      </c>
      <c r="O3841" t="n">
        <v>75</v>
      </c>
      <c r="P3841" t="n">
        <v>0.00516</v>
      </c>
      <c r="Q3841" t="n">
        <v>-35</v>
      </c>
      <c r="R3841" t="n">
        <v>0.02441</v>
      </c>
      <c r="S3841">
        <f>IMAGE("https://mitra.stanford.edu/kundaje/oak/projects/neuro-variants/variant_position/credible/roussos_2024/variant_figures/roussos_2024.adolescence.Astrocyte/rs12679687_count_position.png",4,220,900)</f>
        <v/>
      </c>
      <c r="T3841">
        <f>IMAGE("https://mitra.stanford.edu/kundaje/oak/projects/neuro-variants/variant_position/credible/roussos_2024/variant_figures/roussos_2024.adolescence.Astrocyte/rs12679687_profile_position.png",4,220,900)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0.01396670774</v>
      </c>
      <c r="G3842" t="n">
        <v>0.6545528874627</v>
      </c>
      <c r="H3842" t="n">
        <v>0.0309337128353216</v>
      </c>
      <c r="I3842" t="n">
        <v>0.0277302629857364</v>
      </c>
      <c r="J3842" t="n">
        <v>0.0014093700857489</v>
      </c>
      <c r="K3842" t="n">
        <v>0.8601338932635334</v>
      </c>
      <c r="L3842" t="b">
        <v>0</v>
      </c>
      <c r="M3842" t="b">
        <v>0</v>
      </c>
      <c r="N3842" t="inlineStr">
        <is>
          <t>alt</t>
        </is>
      </c>
      <c r="O3842" t="n">
        <v>-65</v>
      </c>
      <c r="P3842" t="n">
        <v>0.01834</v>
      </c>
      <c r="Q3842" t="n">
        <v>100</v>
      </c>
      <c r="R3842" t="n">
        <v>0.1577</v>
      </c>
      <c r="S3842">
        <f>IMAGE("https://mitra.stanford.edu/kundaje/oak/projects/neuro-variants/variant_position/credible/roussos_2024/variant_figures/roussos_2024.adolescence.Astrocyte/rs2952245_count_position.png",4,220,900)</f>
        <v/>
      </c>
      <c r="T3842">
        <f>IMAGE("https://mitra.stanford.edu/kundaje/oak/projects/neuro-variants/variant_position/credible/roussos_2024/variant_figures/roussos_2024.adolescence.Astrocyte/rs2952245_profile_position.png",4,220,900)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0.0313082961999999</v>
      </c>
      <c r="G3843" t="n">
        <v>0.2146490217903572</v>
      </c>
      <c r="H3843" t="n">
        <v>0.0286264193464016</v>
      </c>
      <c r="I3843" t="n">
        <v>0.0376074205360768</v>
      </c>
      <c r="J3843" t="n">
        <v>0.636482657330208</v>
      </c>
      <c r="K3843" t="n">
        <v>0.0276455617152798</v>
      </c>
      <c r="L3843" t="b">
        <v>0</v>
      </c>
      <c r="M3843" t="b">
        <v>0</v>
      </c>
      <c r="N3843" t="inlineStr">
        <is>
          <t>alt</t>
        </is>
      </c>
      <c r="O3843" t="n">
        <v>100</v>
      </c>
      <c r="P3843" t="n">
        <v>0.01383</v>
      </c>
      <c r="Q3843" t="n">
        <v>95</v>
      </c>
      <c r="R3843" t="n">
        <v>0.328</v>
      </c>
      <c r="S3843">
        <f>IMAGE("https://mitra.stanford.edu/kundaje/oak/projects/neuro-variants/variant_position/credible/roussos_2024/variant_figures/roussos_2024.adolescence.Astrocyte/rs11250001_count_position.png",4,220,900)</f>
        <v/>
      </c>
      <c r="T3843">
        <f>IMAGE("https://mitra.stanford.edu/kundaje/oak/projects/neuro-variants/variant_position/credible/roussos_2024/variant_figures/roussos_2024.adolescence.Astrocyte/rs11250001_profile_position.png",4,220,900)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0.0505492553999999</v>
      </c>
      <c r="G3844" t="n">
        <v>0.2237641827030628</v>
      </c>
      <c r="H3844" t="n">
        <v>0.0153998944722939</v>
      </c>
      <c r="I3844" t="n">
        <v>0.2993469716124555</v>
      </c>
      <c r="J3844" t="n">
        <v>0.0269508649081683</v>
      </c>
      <c r="K3844" t="n">
        <v>0.5248850836175165</v>
      </c>
      <c r="L3844" t="b">
        <v>0</v>
      </c>
      <c r="M3844" t="b">
        <v>0</v>
      </c>
      <c r="N3844" t="inlineStr">
        <is>
          <t>alt</t>
        </is>
      </c>
      <c r="O3844" t="n">
        <v>-95</v>
      </c>
      <c r="P3844" t="n">
        <v>0.005974</v>
      </c>
      <c r="Q3844" t="n">
        <v>-100</v>
      </c>
      <c r="R3844" t="n">
        <v>0.12396</v>
      </c>
      <c r="S3844">
        <f>IMAGE("https://mitra.stanford.edu/kundaje/oak/projects/neuro-variants/variant_position/credible/roussos_2024/variant_figures/roussos_2024.adolescence.Astrocyte/rs35388602_count_position.png",4,220,900)</f>
        <v/>
      </c>
      <c r="T3844">
        <f>IMAGE("https://mitra.stanford.edu/kundaje/oak/projects/neuro-variants/variant_position/credible/roussos_2024/variant_figures/roussos_2024.adolescence.Astrocyte/rs35388602_profile_position.png",4,220,900)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0.0270360042</v>
      </c>
      <c r="G3845" t="n">
        <v>0.436003715917701</v>
      </c>
      <c r="H3845" t="n">
        <v>0.0208426855936838</v>
      </c>
      <c r="I3845" t="n">
        <v>0.1201037292216799</v>
      </c>
      <c r="J3845" t="n">
        <v>0.0062390588374921</v>
      </c>
      <c r="K3845" t="n">
        <v>0.7173646504720549</v>
      </c>
      <c r="L3845" t="b">
        <v>0</v>
      </c>
      <c r="M3845" t="b">
        <v>0</v>
      </c>
      <c r="N3845" t="inlineStr">
        <is>
          <t>alt</t>
        </is>
      </c>
      <c r="O3845" t="n">
        <v>95</v>
      </c>
      <c r="P3845" t="n">
        <v>0.003368</v>
      </c>
      <c r="Q3845" t="n">
        <v>25</v>
      </c>
      <c r="R3845" t="n">
        <v>0.02551</v>
      </c>
      <c r="S3845">
        <f>IMAGE("https://mitra.stanford.edu/kundaje/oak/projects/neuro-variants/variant_position/credible/roussos_2024/variant_figures/roussos_2024.adolescence.Astrocyte/rs7839817_count_position.png",4,220,900)</f>
        <v/>
      </c>
      <c r="T3845">
        <f>IMAGE("https://mitra.stanford.edu/kundaje/oak/projects/neuro-variants/variant_position/credible/roussos_2024/variant_figures/roussos_2024.adolescence.Astrocyte/rs7839817_profile_position.png",4,220,900)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0.00961710444</v>
      </c>
      <c r="G3846" t="n">
        <v>0.7456884055761319</v>
      </c>
      <c r="H3846" t="n">
        <v>0.0066622162171151</v>
      </c>
      <c r="I3846" t="n">
        <v>0.9728288110062424</v>
      </c>
      <c r="J3846" t="n">
        <v>0.0786584280331127</v>
      </c>
      <c r="K3846" t="n">
        <v>0.391617780281576</v>
      </c>
      <c r="L3846" t="b">
        <v>0</v>
      </c>
      <c r="M3846" t="b">
        <v>0</v>
      </c>
      <c r="N3846" t="inlineStr">
        <is>
          <t>alt</t>
        </is>
      </c>
      <c r="O3846" t="n">
        <v>-100</v>
      </c>
      <c r="P3846" t="n">
        <v>0.0249</v>
      </c>
      <c r="Q3846" t="n">
        <v>-100</v>
      </c>
      <c r="R3846" t="n">
        <v>0.08746</v>
      </c>
      <c r="S3846">
        <f>IMAGE("https://mitra.stanford.edu/kundaje/oak/projects/neuro-variants/variant_position/credible/roussos_2024/variant_figures/roussos_2024.adolescence.Astrocyte/rs5012670_count_position.png",4,220,900)</f>
        <v/>
      </c>
      <c r="T3846">
        <f>IMAGE("https://mitra.stanford.edu/kundaje/oak/projects/neuro-variants/variant_position/credible/roussos_2024/variant_figures/roussos_2024.adolescence.Astrocyte/rs5012670_profile_position.png",4,220,900)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-0.00595899174</v>
      </c>
      <c r="G3847" t="n">
        <v>0.7054332505192916</v>
      </c>
      <c r="H3847" t="n">
        <v>0.015912811248843</v>
      </c>
      <c r="I3847" t="n">
        <v>0.2752059185521721</v>
      </c>
      <c r="J3847" t="n">
        <v>0.009169806842120799</v>
      </c>
      <c r="K3847" t="n">
        <v>0.6786297033318336</v>
      </c>
      <c r="L3847" t="b">
        <v>0</v>
      </c>
      <c r="M3847" t="b">
        <v>0</v>
      </c>
      <c r="N3847" t="inlineStr">
        <is>
          <t>ref</t>
        </is>
      </c>
      <c r="O3847" t="n">
        <v>-85</v>
      </c>
      <c r="P3847" t="n">
        <v>0.006462</v>
      </c>
      <c r="Q3847" t="n">
        <v>-50</v>
      </c>
      <c r="R3847" t="n">
        <v>0.0703</v>
      </c>
      <c r="S3847">
        <f>IMAGE("https://mitra.stanford.edu/kundaje/oak/projects/neuro-variants/variant_position/credible/roussos_2024/variant_figures/roussos_2024.adolescence.Astrocyte/rs13267233_count_position.png",4,220,900)</f>
        <v/>
      </c>
      <c r="T3847">
        <f>IMAGE("https://mitra.stanford.edu/kundaje/oak/projects/neuro-variants/variant_position/credible/roussos_2024/variant_figures/roussos_2024.adolescence.Astrocyte/rs13267233_profile_position.png",4,220,900)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-0.03547446284</v>
      </c>
      <c r="G3848" t="n">
        <v>0.3878411879006511</v>
      </c>
      <c r="H3848" t="n">
        <v>0.0109591196925494</v>
      </c>
      <c r="I3848" t="n">
        <v>0.6539103149427108</v>
      </c>
      <c r="J3848" t="n">
        <v>0.008008189181971799</v>
      </c>
      <c r="K3848" t="n">
        <v>0.6895474736093046</v>
      </c>
      <c r="L3848" t="b">
        <v>0</v>
      </c>
      <c r="M3848" t="b">
        <v>0</v>
      </c>
      <c r="N3848" t="inlineStr">
        <is>
          <t>ref</t>
        </is>
      </c>
      <c r="O3848" t="n">
        <v>100</v>
      </c>
      <c r="P3848" t="n">
        <v>0.005836</v>
      </c>
      <c r="Q3848" t="n">
        <v>50</v>
      </c>
      <c r="R3848" t="n">
        <v>0.04062</v>
      </c>
      <c r="S3848">
        <f>IMAGE("https://mitra.stanford.edu/kundaje/oak/projects/neuro-variants/variant_position/credible/roussos_2024/variant_figures/roussos_2024.adolescence.Astrocyte/rs13267570_count_position.png",4,220,900)</f>
        <v/>
      </c>
      <c r="T3848">
        <f>IMAGE("https://mitra.stanford.edu/kundaje/oak/projects/neuro-variants/variant_position/credible/roussos_2024/variant_figures/roussos_2024.adolescence.Astrocyte/rs13267570_profile_position.png",4,220,900)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0.0592106796</v>
      </c>
      <c r="G3849" t="n">
        <v>0.1599990824797311</v>
      </c>
      <c r="H3849" t="n">
        <v>0.0145124118292879</v>
      </c>
      <c r="I3849" t="n">
        <v>0.3603030277470161</v>
      </c>
      <c r="J3849" t="n">
        <v>0.5670993680087827</v>
      </c>
      <c r="K3849" t="n">
        <v>0.0399647390719981</v>
      </c>
      <c r="L3849" t="b">
        <v>0</v>
      </c>
      <c r="M3849" t="b">
        <v>0</v>
      </c>
      <c r="N3849" t="inlineStr">
        <is>
          <t>alt</t>
        </is>
      </c>
      <c r="O3849" t="n">
        <v>-20</v>
      </c>
      <c r="P3849" t="n">
        <v>0.0058</v>
      </c>
      <c r="Q3849" t="n">
        <v>-85</v>
      </c>
      <c r="R3849" t="n">
        <v>0.1353</v>
      </c>
      <c r="S3849">
        <f>IMAGE("https://mitra.stanford.edu/kundaje/oak/projects/neuro-variants/variant_position/credible/roussos_2024/variant_figures/roussos_2024.adolescence.Astrocyte/rs13259407_count_position.png",4,220,900)</f>
        <v/>
      </c>
      <c r="T3849">
        <f>IMAGE("https://mitra.stanford.edu/kundaje/oak/projects/neuro-variants/variant_position/credible/roussos_2024/variant_figures/roussos_2024.adolescence.Astrocyte/rs13259407_profile_position.png",4,220,900)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-0.171260243</v>
      </c>
      <c r="G3850" t="n">
        <v>0.0278983307622585</v>
      </c>
      <c r="H3850" t="n">
        <v>0.0206704395427874</v>
      </c>
      <c r="I3850" t="n">
        <v>0.1287195431441493</v>
      </c>
      <c r="J3850" t="n">
        <v>0.0266296768833634</v>
      </c>
      <c r="K3850" t="n">
        <v>0.552608329853211</v>
      </c>
      <c r="L3850" t="b">
        <v>0</v>
      </c>
      <c r="M3850" t="b">
        <v>0</v>
      </c>
      <c r="N3850" t="inlineStr">
        <is>
          <t>ref</t>
        </is>
      </c>
      <c r="O3850" t="n">
        <v>100</v>
      </c>
      <c r="P3850" t="n">
        <v>0.03024</v>
      </c>
      <c r="Q3850" t="n">
        <v>100</v>
      </c>
      <c r="R3850" t="n">
        <v>0.2676</v>
      </c>
      <c r="S3850">
        <f>IMAGE("https://mitra.stanford.edu/kundaje/oak/projects/neuro-variants/variant_position/credible/roussos_2024/variant_figures/roussos_2024.adolescence.Astrocyte/rs7018369_count_position.png",4,220,900)</f>
        <v/>
      </c>
      <c r="T3850">
        <f>IMAGE("https://mitra.stanford.edu/kundaje/oak/projects/neuro-variants/variant_position/credible/roussos_2024/variant_figures/roussos_2024.adolescence.Astrocyte/rs7018369_profile_position.png",4,220,900)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0.01930507652</v>
      </c>
      <c r="G3851" t="n">
        <v>0.5135191883482739</v>
      </c>
      <c r="H3851" t="n">
        <v>0.0102634475735661</v>
      </c>
      <c r="I3851" t="n">
        <v>0.7180153510849626</v>
      </c>
      <c r="J3851" t="n">
        <v>0.0692260332908049</v>
      </c>
      <c r="K3851" t="n">
        <v>0.3875849899276627</v>
      </c>
      <c r="L3851" t="b">
        <v>0</v>
      </c>
      <c r="M3851" t="b">
        <v>0</v>
      </c>
      <c r="N3851" t="inlineStr">
        <is>
          <t>alt</t>
        </is>
      </c>
      <c r="O3851" t="n">
        <v>100</v>
      </c>
      <c r="P3851" t="n">
        <v>0.01784</v>
      </c>
      <c r="Q3851" t="n">
        <v>100</v>
      </c>
      <c r="R3851" t="n">
        <v>0.1956</v>
      </c>
      <c r="S3851">
        <f>IMAGE("https://mitra.stanford.edu/kundaje/oak/projects/neuro-variants/variant_position/credible/roussos_2024/variant_figures/roussos_2024.adolescence.Astrocyte/rs3808573_count_position.png",4,220,900)</f>
        <v/>
      </c>
      <c r="T3851">
        <f>IMAGE("https://mitra.stanford.edu/kundaje/oak/projects/neuro-variants/variant_position/credible/roussos_2024/variant_figures/roussos_2024.adolescence.Astrocyte/rs3808573_profile_position.png",4,220,900)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0.144379752</v>
      </c>
      <c r="G3852" t="n">
        <v>0.037033859159587</v>
      </c>
      <c r="H3852" t="n">
        <v>0.0169803517016002</v>
      </c>
      <c r="I3852" t="n">
        <v>0.2316626790897665</v>
      </c>
      <c r="J3852" t="n">
        <v>0.0367118654125744</v>
      </c>
      <c r="K3852" t="n">
        <v>0.4826055062725838</v>
      </c>
      <c r="L3852" t="b">
        <v>0</v>
      </c>
      <c r="M3852" t="b">
        <v>0</v>
      </c>
      <c r="N3852" t="inlineStr">
        <is>
          <t>alt</t>
        </is>
      </c>
      <c r="O3852" t="n">
        <v>30</v>
      </c>
      <c r="P3852" t="n">
        <v>0.013885</v>
      </c>
      <c r="Q3852" t="n">
        <v>100</v>
      </c>
      <c r="R3852" t="n">
        <v>0.33</v>
      </c>
      <c r="S3852">
        <f>IMAGE("https://mitra.stanford.edu/kundaje/oak/projects/neuro-variants/variant_position/credible/roussos_2024/variant_figures/roussos_2024.adolescence.Astrocyte/rs3808566_count_position.png",4,220,900)</f>
        <v/>
      </c>
      <c r="T3852">
        <f>IMAGE("https://mitra.stanford.edu/kundaje/oak/projects/neuro-variants/variant_position/credible/roussos_2024/variant_figures/roussos_2024.adolescence.Astrocyte/rs3808566_profile_position.png",4,220,900)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-0.07501133639999991</v>
      </c>
      <c r="G3853" t="n">
        <v>0.1455379637814836</v>
      </c>
      <c r="H3853" t="n">
        <v>0.0374053581245875</v>
      </c>
      <c r="I3853" t="n">
        <v>0.0127155789822777</v>
      </c>
      <c r="J3853" t="n">
        <v>0.1009991692134231</v>
      </c>
      <c r="K3853" t="n">
        <v>0.3234432323595526</v>
      </c>
      <c r="L3853" t="b">
        <v>1</v>
      </c>
      <c r="M3853" t="b">
        <v>0</v>
      </c>
      <c r="N3853" t="inlineStr">
        <is>
          <t>ref</t>
        </is>
      </c>
      <c r="O3853" t="n">
        <v>65</v>
      </c>
      <c r="P3853" t="n">
        <v>0.004227</v>
      </c>
      <c r="Q3853" t="n">
        <v>65</v>
      </c>
      <c r="R3853" t="n">
        <v>0.1638</v>
      </c>
      <c r="S3853">
        <f>IMAGE("https://mitra.stanford.edu/kundaje/oak/projects/neuro-variants/variant_position/credible/roussos_2024/variant_figures/roussos_2024.adolescence.Astrocyte/rs3824232_count_position.png",4,220,900)</f>
        <v/>
      </c>
      <c r="T3853">
        <f>IMAGE("https://mitra.stanford.edu/kundaje/oak/projects/neuro-variants/variant_position/credible/roussos_2024/variant_figures/roussos_2024.adolescence.Astrocyte/rs3824232_profile_position.png",4,220,900)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0.06289655800000001</v>
      </c>
      <c r="G3854" t="n">
        <v>0.1699843539606379</v>
      </c>
      <c r="H3854" t="n">
        <v>0.0143688474518159</v>
      </c>
      <c r="I3854" t="n">
        <v>0.3551078610710236</v>
      </c>
      <c r="J3854" t="n">
        <v>0.3188937186600599</v>
      </c>
      <c r="K3854" t="n">
        <v>0.1241373942723182</v>
      </c>
      <c r="L3854" t="b">
        <v>0</v>
      </c>
      <c r="M3854" t="b">
        <v>0</v>
      </c>
      <c r="N3854" t="inlineStr">
        <is>
          <t>alt</t>
        </is>
      </c>
      <c r="O3854" t="n">
        <v>-60</v>
      </c>
      <c r="P3854" t="n">
        <v>0.002876</v>
      </c>
      <c r="Q3854" t="n">
        <v>100</v>
      </c>
      <c r="R3854" t="n">
        <v>0.1594</v>
      </c>
      <c r="S3854">
        <f>IMAGE("https://mitra.stanford.edu/kundaje/oak/projects/neuro-variants/variant_position/credible/roussos_2024/variant_figures/roussos_2024.adolescence.Astrocyte/rs56085315_count_position.png",4,220,900)</f>
        <v/>
      </c>
      <c r="T3854">
        <f>IMAGE("https://mitra.stanford.edu/kundaje/oak/projects/neuro-variants/variant_position/credible/roussos_2024/variant_figures/roussos_2024.adolescence.Astrocyte/rs56085315_profile_position.png",4,220,900)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-0.03965525928</v>
      </c>
      <c r="G3855" t="n">
        <v>0.3534787605419998</v>
      </c>
      <c r="H3855" t="n">
        <v>0.0194476026102122</v>
      </c>
      <c r="I3855" t="n">
        <v>0.1740921792199803</v>
      </c>
      <c r="J3855" t="n">
        <v>0.0523810936711864</v>
      </c>
      <c r="K3855" t="n">
        <v>0.4439110443573378</v>
      </c>
      <c r="L3855" t="b">
        <v>0</v>
      </c>
      <c r="M3855" t="b">
        <v>0</v>
      </c>
      <c r="N3855" t="inlineStr">
        <is>
          <t>ref</t>
        </is>
      </c>
      <c r="O3855" t="n">
        <v>-70</v>
      </c>
      <c r="P3855" t="n">
        <v>0.02182</v>
      </c>
      <c r="Q3855" t="n">
        <v>-65</v>
      </c>
      <c r="R3855" t="n">
        <v>0.1521</v>
      </c>
      <c r="S3855">
        <f>IMAGE("https://mitra.stanford.edu/kundaje/oak/projects/neuro-variants/variant_position/credible/roussos_2024/variant_figures/roussos_2024.adolescence.Astrocyte/rs3757908_count_position.png",4,220,900)</f>
        <v/>
      </c>
      <c r="T3855">
        <f>IMAGE("https://mitra.stanford.edu/kundaje/oak/projects/neuro-variants/variant_position/credible/roussos_2024/variant_figures/roussos_2024.adolescence.Astrocyte/rs3757908_profile_position.png",4,220,900)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0.0070288666039999</v>
      </c>
      <c r="G3856" t="n">
        <v>0.4814768843821537</v>
      </c>
      <c r="H3856" t="n">
        <v>0.0183540413681407</v>
      </c>
      <c r="I3856" t="n">
        <v>0.1791820246554999</v>
      </c>
      <c r="J3856" t="n">
        <v>0.0740809423493456</v>
      </c>
      <c r="K3856" t="n">
        <v>0.3805646477045101</v>
      </c>
      <c r="L3856" t="b">
        <v>0</v>
      </c>
      <c r="M3856" t="b">
        <v>0</v>
      </c>
      <c r="N3856" t="inlineStr">
        <is>
          <t>alt</t>
        </is>
      </c>
      <c r="O3856" t="n">
        <v>95</v>
      </c>
      <c r="P3856" t="n">
        <v>0.005417</v>
      </c>
      <c r="Q3856" t="n">
        <v>-100</v>
      </c>
      <c r="R3856" t="n">
        <v>0.0536</v>
      </c>
      <c r="S3856">
        <f>IMAGE("https://mitra.stanford.edu/kundaje/oak/projects/neuro-variants/variant_position/credible/roussos_2024/variant_figures/roussos_2024.adolescence.Astrocyte/rs7005936_count_position.png",4,220,900)</f>
        <v/>
      </c>
      <c r="T3856">
        <f>IMAGE("https://mitra.stanford.edu/kundaje/oak/projects/neuro-variants/variant_position/credible/roussos_2024/variant_figures/roussos_2024.adolescence.Astrocyte/rs7005936_profile_position.png",4,220,900)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0.08246796419999999</v>
      </c>
      <c r="G3857" t="n">
        <v>0.1179136383994516</v>
      </c>
      <c r="H3857" t="n">
        <v>0.0164402927375526</v>
      </c>
      <c r="I3857" t="n">
        <v>0.2500459851528385</v>
      </c>
      <c r="J3857" t="n">
        <v>0.3111436667358988</v>
      </c>
      <c r="K3857" t="n">
        <v>0.128198239002069</v>
      </c>
      <c r="L3857" t="b">
        <v>0</v>
      </c>
      <c r="M3857" t="b">
        <v>0</v>
      </c>
      <c r="N3857" t="inlineStr">
        <is>
          <t>alt</t>
        </is>
      </c>
      <c r="O3857" t="n">
        <v>-60</v>
      </c>
      <c r="P3857" t="n">
        <v>0.008070000000000001</v>
      </c>
      <c r="Q3857" t="n">
        <v>-90</v>
      </c>
      <c r="R3857" t="n">
        <v>0.1338</v>
      </c>
      <c r="S3857">
        <f>IMAGE("https://mitra.stanford.edu/kundaje/oak/projects/neuro-variants/variant_position/credible/roussos_2024/variant_figures/roussos_2024.adolescence.Astrocyte/rs1106359_count_position.png",4,220,900)</f>
        <v/>
      </c>
      <c r="T3857">
        <f>IMAGE("https://mitra.stanford.edu/kundaje/oak/projects/neuro-variants/variant_position/credible/roussos_2024/variant_figures/roussos_2024.adolescence.Astrocyte/rs1106359_profile_position.png",4,220,900)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0.181461032</v>
      </c>
      <c r="G3858" t="n">
        <v>0.0246880815112414</v>
      </c>
      <c r="H3858" t="n">
        <v>0.0239096599799323</v>
      </c>
      <c r="I3858" t="n">
        <v>0.07408695330360469</v>
      </c>
      <c r="J3858" t="n">
        <v>0.372878527134083</v>
      </c>
      <c r="K3858" t="n">
        <v>0.0977548320727262</v>
      </c>
      <c r="L3858" t="b">
        <v>0</v>
      </c>
      <c r="M3858" t="b">
        <v>0</v>
      </c>
      <c r="N3858" t="inlineStr">
        <is>
          <t>alt</t>
        </is>
      </c>
      <c r="O3858" t="n">
        <v>-10</v>
      </c>
      <c r="P3858" t="n">
        <v>0.003754</v>
      </c>
      <c r="Q3858" t="n">
        <v>-25</v>
      </c>
      <c r="R3858" t="n">
        <v>0.10034</v>
      </c>
      <c r="S3858">
        <f>IMAGE("https://mitra.stanford.edu/kundaje/oak/projects/neuro-variants/variant_position/credible/roussos_2024/variant_figures/roussos_2024.adolescence.Astrocyte/rs2565065_count_position.png",4,220,900)</f>
        <v/>
      </c>
      <c r="T3858">
        <f>IMAGE("https://mitra.stanford.edu/kundaje/oak/projects/neuro-variants/variant_position/credible/roussos_2024/variant_figures/roussos_2024.adolescence.Astrocyte/rs2565065_profile_position.png",4,220,900)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0.053104753</v>
      </c>
      <c r="G3859" t="n">
        <v>0.1313368526389407</v>
      </c>
      <c r="H3859" t="n">
        <v>0.0118700599790103</v>
      </c>
      <c r="I3859" t="n">
        <v>0.5514000606493444</v>
      </c>
      <c r="J3859" t="n">
        <v>0.5289135981960063</v>
      </c>
      <c r="K3859" t="n">
        <v>0.0491719992232948</v>
      </c>
      <c r="L3859" t="b">
        <v>0</v>
      </c>
      <c r="M3859" t="b">
        <v>0</v>
      </c>
      <c r="N3859" t="inlineStr">
        <is>
          <t>alt</t>
        </is>
      </c>
      <c r="O3859" t="n">
        <v>20</v>
      </c>
      <c r="P3859" t="n">
        <v>0.00471</v>
      </c>
      <c r="Q3859" t="n">
        <v>-80</v>
      </c>
      <c r="R3859" t="n">
        <v>0.10596</v>
      </c>
      <c r="S3859">
        <f>IMAGE("https://mitra.stanford.edu/kundaje/oak/projects/neuro-variants/variant_position/credible/roussos_2024/variant_figures/roussos_2024.adolescence.Astrocyte/rs867232_count_position.png",4,220,900)</f>
        <v/>
      </c>
      <c r="T3859">
        <f>IMAGE("https://mitra.stanford.edu/kundaje/oak/projects/neuro-variants/variant_position/credible/roussos_2024/variant_figures/roussos_2024.adolescence.Astrocyte/rs867232_profile_position.png",4,220,900)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0.03807605566</v>
      </c>
      <c r="G3860" t="n">
        <v>0.3421872020523625</v>
      </c>
      <c r="H3860" t="n">
        <v>0.036053725036808</v>
      </c>
      <c r="I3860" t="n">
        <v>0.0146679637016799</v>
      </c>
      <c r="J3860" t="n">
        <v>0.0048133697296976</v>
      </c>
      <c r="K3860" t="n">
        <v>0.7575261023712115</v>
      </c>
      <c r="L3860" t="b">
        <v>0</v>
      </c>
      <c r="M3860" t="b">
        <v>0</v>
      </c>
      <c r="N3860" t="inlineStr">
        <is>
          <t>alt</t>
        </is>
      </c>
      <c r="O3860" t="n">
        <v>65</v>
      </c>
      <c r="P3860" t="n">
        <v>0.002811</v>
      </c>
      <c r="Q3860" t="n">
        <v>100</v>
      </c>
      <c r="R3860" t="n">
        <v>0.1304</v>
      </c>
      <c r="S3860">
        <f>IMAGE("https://mitra.stanford.edu/kundaje/oak/projects/neuro-variants/variant_position/credible/roussos_2024/variant_figures/roussos_2024.adolescence.Astrocyte/rs2881131_count_position.png",4,220,900)</f>
        <v/>
      </c>
      <c r="T3860">
        <f>IMAGE("https://mitra.stanford.edu/kundaje/oak/projects/neuro-variants/variant_position/credible/roussos_2024/variant_figures/roussos_2024.adolescence.Astrocyte/rs2881131_profile_position.png",4,220,900)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-0.210180716</v>
      </c>
      <c r="G3861" t="n">
        <v>0.015838294155321</v>
      </c>
      <c r="H3861" t="n">
        <v>0.0270551470488903</v>
      </c>
      <c r="I3861" t="n">
        <v>0.0491290328071958</v>
      </c>
      <c r="J3861" t="n">
        <v>0.0239222027712666</v>
      </c>
      <c r="K3861" t="n">
        <v>0.5594265920618731</v>
      </c>
      <c r="L3861" t="b">
        <v>1</v>
      </c>
      <c r="M3861" t="b">
        <v>0</v>
      </c>
      <c r="N3861" t="inlineStr">
        <is>
          <t>ref</t>
        </is>
      </c>
      <c r="O3861" t="n">
        <v>95</v>
      </c>
      <c r="P3861" t="n">
        <v>0.0241</v>
      </c>
      <c r="Q3861" t="n">
        <v>0</v>
      </c>
      <c r="R3861" t="n">
        <v>0</v>
      </c>
      <c r="S3861">
        <f>IMAGE("https://mitra.stanford.edu/kundaje/oak/projects/neuro-variants/variant_position/credible/roussos_2024/variant_figures/roussos_2024.adolescence.Astrocyte/rs2575065_count_position.png",4,220,900)</f>
        <v/>
      </c>
      <c r="T3861">
        <f>IMAGE("https://mitra.stanford.edu/kundaje/oak/projects/neuro-variants/variant_position/credible/roussos_2024/variant_figures/roussos_2024.adolescence.Astrocyte/rs2575065_profile_position.png",4,220,900)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0.0088969996</v>
      </c>
      <c r="G3862" t="n">
        <v>0.6019890825347608</v>
      </c>
      <c r="H3862" t="n">
        <v>0.0242989574308997</v>
      </c>
      <c r="I3862" t="n">
        <v>0.0697804206042178</v>
      </c>
      <c r="J3862" t="n">
        <v>0.0008478473726374</v>
      </c>
      <c r="K3862" t="n">
        <v>0.9392101025243268</v>
      </c>
      <c r="L3862" t="b">
        <v>0</v>
      </c>
      <c r="M3862" t="b">
        <v>0</v>
      </c>
      <c r="N3862" t="inlineStr">
        <is>
          <t>alt</t>
        </is>
      </c>
      <c r="O3862" t="n">
        <v>-90</v>
      </c>
      <c r="P3862" t="n">
        <v>0.002804</v>
      </c>
      <c r="Q3862" t="n">
        <v>-90</v>
      </c>
      <c r="R3862" t="n">
        <v>0.2578</v>
      </c>
      <c r="S3862">
        <f>IMAGE("https://mitra.stanford.edu/kundaje/oak/projects/neuro-variants/variant_position/credible/roussos_2024/variant_figures/roussos_2024.adolescence.Astrocyte/rs77184019_count_position.png",4,220,900)</f>
        <v/>
      </c>
      <c r="T3862">
        <f>IMAGE("https://mitra.stanford.edu/kundaje/oak/projects/neuro-variants/variant_position/credible/roussos_2024/variant_figures/roussos_2024.adolescence.Astrocyte/rs77184019_profile_position.png",4,220,900)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-0.028206336</v>
      </c>
      <c r="G3863" t="n">
        <v>0.463820737020965</v>
      </c>
      <c r="H3863" t="n">
        <v>0.0094630195577756</v>
      </c>
      <c r="I3863" t="n">
        <v>0.7742662015994132</v>
      </c>
      <c r="J3863" t="n">
        <v>0.0020317182446666</v>
      </c>
      <c r="K3863" t="n">
        <v>0.827665131510074</v>
      </c>
      <c r="L3863" t="b">
        <v>0</v>
      </c>
      <c r="M3863" t="b">
        <v>0</v>
      </c>
      <c r="N3863" t="inlineStr">
        <is>
          <t>ref</t>
        </is>
      </c>
      <c r="O3863" t="n">
        <v>100</v>
      </c>
      <c r="P3863" t="n">
        <v>0.01457</v>
      </c>
      <c r="Q3863" t="n">
        <v>-100</v>
      </c>
      <c r="R3863" t="n">
        <v>0.07679999999999999</v>
      </c>
      <c r="S3863">
        <f>IMAGE("https://mitra.stanford.edu/kundaje/oak/projects/neuro-variants/variant_position/credible/roussos_2024/variant_figures/roussos_2024.adolescence.Astrocyte/rs2716947_count_position.png",4,220,900)</f>
        <v/>
      </c>
      <c r="T3863">
        <f>IMAGE("https://mitra.stanford.edu/kundaje/oak/projects/neuro-variants/variant_position/credible/roussos_2024/variant_figures/roussos_2024.adolescence.Astrocyte/rs2716947_profile_position.png",4,220,900)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0.00206044324</v>
      </c>
      <c r="G3864" t="n">
        <v>0.7681337784086436</v>
      </c>
      <c r="H3864" t="n">
        <v>0.0219051833270976</v>
      </c>
      <c r="I3864" t="n">
        <v>0.1024367629442726</v>
      </c>
      <c r="J3864" t="n">
        <v>0.0045641337566388</v>
      </c>
      <c r="K3864" t="n">
        <v>0.7527431914502761</v>
      </c>
      <c r="L3864" t="b">
        <v>0</v>
      </c>
      <c r="M3864" t="b">
        <v>0</v>
      </c>
      <c r="N3864" t="inlineStr">
        <is>
          <t>alt</t>
        </is>
      </c>
      <c r="O3864" t="n">
        <v>25</v>
      </c>
      <c r="P3864" t="n">
        <v>0.00238</v>
      </c>
      <c r="Q3864" t="n">
        <v>100</v>
      </c>
      <c r="R3864" t="n">
        <v>0.117</v>
      </c>
      <c r="S3864">
        <f>IMAGE("https://mitra.stanford.edu/kundaje/oak/projects/neuro-variants/variant_position/credible/roussos_2024/variant_figures/roussos_2024.adolescence.Astrocyte/rs2681614_count_position.png",4,220,900)</f>
        <v/>
      </c>
      <c r="T3864">
        <f>IMAGE("https://mitra.stanford.edu/kundaje/oak/projects/neuro-variants/variant_position/credible/roussos_2024/variant_figures/roussos_2024.adolescence.Astrocyte/rs2681614_profile_position.png",4,220,900)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-0.01496369908</v>
      </c>
      <c r="G3865" t="n">
        <v>0.6466890376258166</v>
      </c>
      <c r="H3865" t="n">
        <v>0.0373413360057199</v>
      </c>
      <c r="I3865" t="n">
        <v>0.012863881479236</v>
      </c>
      <c r="J3865" t="n">
        <v>3.115449663234727e-05</v>
      </c>
      <c r="K3865" t="n">
        <v>0.9986945103764452</v>
      </c>
      <c r="L3865" t="b">
        <v>0</v>
      </c>
      <c r="M3865" t="b">
        <v>0</v>
      </c>
      <c r="N3865" t="inlineStr">
        <is>
          <t>ref</t>
        </is>
      </c>
      <c r="O3865" t="n">
        <v>70</v>
      </c>
      <c r="P3865" t="n">
        <v>0.004486</v>
      </c>
      <c r="Q3865" t="n">
        <v>85</v>
      </c>
      <c r="R3865" t="n">
        <v>0.06419999999999999</v>
      </c>
      <c r="S3865">
        <f>IMAGE("https://mitra.stanford.edu/kundaje/oak/projects/neuro-variants/variant_position/credible/roussos_2024/variant_figures/roussos_2024.adolescence.Astrocyte/rs2716966_count_position.png",4,220,900)</f>
        <v/>
      </c>
      <c r="T3865">
        <f>IMAGE("https://mitra.stanford.edu/kundaje/oak/projects/neuro-variants/variant_position/credible/roussos_2024/variant_figures/roussos_2024.adolescence.Astrocyte/rs2716966_profile_position.png",4,220,900)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0.2094503449999999</v>
      </c>
      <c r="G3866" t="n">
        <v>0.0170241089319924</v>
      </c>
      <c r="H3866" t="n">
        <v>0.0316150474749096</v>
      </c>
      <c r="I3866" t="n">
        <v>0.0258036416306128</v>
      </c>
      <c r="J3866" t="n">
        <v>0.0151685309913063</v>
      </c>
      <c r="K3866" t="n">
        <v>0.6512188044942221</v>
      </c>
      <c r="L3866" t="b">
        <v>1</v>
      </c>
      <c r="M3866" t="b">
        <v>0</v>
      </c>
      <c r="N3866" t="inlineStr">
        <is>
          <t>alt</t>
        </is>
      </c>
      <c r="O3866" t="n">
        <v>-100</v>
      </c>
      <c r="P3866" t="n">
        <v>0.012596</v>
      </c>
      <c r="Q3866" t="n">
        <v>90</v>
      </c>
      <c r="R3866" t="n">
        <v>0.1895</v>
      </c>
      <c r="S3866">
        <f>IMAGE("https://mitra.stanford.edu/kundaje/oak/projects/neuro-variants/variant_position/credible/roussos_2024/variant_figures/roussos_2024.adolescence.Astrocyte/rs4376462_count_position.png",4,220,900)</f>
        <v/>
      </c>
      <c r="T3866">
        <f>IMAGE("https://mitra.stanford.edu/kundaje/oak/projects/neuro-variants/variant_position/credible/roussos_2024/variant_figures/roussos_2024.adolescence.Astrocyte/rs4376462_profile_position.png",4,220,900)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-0.0004679667999999</v>
      </c>
      <c r="G3867" t="n">
        <v>0.3948469548700647</v>
      </c>
      <c r="H3867" t="n">
        <v>0.0342161813433039</v>
      </c>
      <c r="I3867" t="n">
        <v>0.0194432221043086</v>
      </c>
      <c r="J3867" t="n">
        <v>0.0032578702192682</v>
      </c>
      <c r="K3867" t="n">
        <v>0.7875878007162328</v>
      </c>
      <c r="L3867" t="b">
        <v>0</v>
      </c>
      <c r="M3867" t="b">
        <v>0</v>
      </c>
      <c r="N3867" t="inlineStr">
        <is>
          <t>ref</t>
        </is>
      </c>
      <c r="O3867" t="n">
        <v>-90</v>
      </c>
      <c r="P3867" t="n">
        <v>0.01187</v>
      </c>
      <c r="Q3867" t="n">
        <v>30</v>
      </c>
      <c r="R3867" t="n">
        <v>0.02783</v>
      </c>
      <c r="S3867">
        <f>IMAGE("https://mitra.stanford.edu/kundaje/oak/projects/neuro-variants/variant_position/credible/roussos_2024/variant_figures/roussos_2024.adolescence.Astrocyte/rs13251167_count_position.png",4,220,900)</f>
        <v/>
      </c>
      <c r="T3867">
        <f>IMAGE("https://mitra.stanford.edu/kundaje/oak/projects/neuro-variants/variant_position/credible/roussos_2024/variant_figures/roussos_2024.adolescence.Astrocyte/rs13251167_profile_position.png",4,220,900)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-0.025519242224</v>
      </c>
      <c r="G3868" t="n">
        <v>0.5008754168476943</v>
      </c>
      <c r="H3868" t="n">
        <v>0.0096066406387562</v>
      </c>
      <c r="I3868" t="n">
        <v>0.7933349094626128</v>
      </c>
      <c r="J3868" t="n">
        <v>0.0005548467495474</v>
      </c>
      <c r="K3868" t="n">
        <v>0.93645001272985</v>
      </c>
      <c r="L3868" t="b">
        <v>0</v>
      </c>
      <c r="M3868" t="b">
        <v>0</v>
      </c>
      <c r="N3868" t="inlineStr">
        <is>
          <t>ref</t>
        </is>
      </c>
      <c r="O3868" t="n">
        <v>90</v>
      </c>
      <c r="P3868" t="n">
        <v>0.003178</v>
      </c>
      <c r="Q3868" t="n">
        <v>-55</v>
      </c>
      <c r="R3868" t="n">
        <v>0.12305</v>
      </c>
      <c r="S3868">
        <f>IMAGE("https://mitra.stanford.edu/kundaje/oak/projects/neuro-variants/variant_position/credible/roussos_2024/variant_figures/roussos_2024.adolescence.Astrocyte/rs4739486_count_position.png",4,220,900)</f>
        <v/>
      </c>
      <c r="T3868">
        <f>IMAGE("https://mitra.stanford.edu/kundaje/oak/projects/neuro-variants/variant_position/credible/roussos_2024/variant_figures/roussos_2024.adolescence.Astrocyte/rs4739486_profile_position.png",4,220,900)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-0.08894936499999991</v>
      </c>
      <c r="G3869" t="n">
        <v>0.1254878126608274</v>
      </c>
      <c r="H3869" t="n">
        <v>0.0113912691102756</v>
      </c>
      <c r="I3869" t="n">
        <v>0.5856438410490533</v>
      </c>
      <c r="J3869" t="n">
        <v>0.0013826662314927</v>
      </c>
      <c r="K3869" t="n">
        <v>0.8703970651677022</v>
      </c>
      <c r="L3869" t="b">
        <v>0</v>
      </c>
      <c r="M3869" t="b">
        <v>0</v>
      </c>
      <c r="N3869" t="inlineStr">
        <is>
          <t>ref</t>
        </is>
      </c>
      <c r="O3869" t="n">
        <v>100</v>
      </c>
      <c r="P3869" t="n">
        <v>0.006226</v>
      </c>
      <c r="Q3869" t="n">
        <v>-70</v>
      </c>
      <c r="R3869" t="n">
        <v>0.2036</v>
      </c>
      <c r="S3869">
        <f>IMAGE("https://mitra.stanford.edu/kundaje/oak/projects/neuro-variants/variant_position/credible/roussos_2024/variant_figures/roussos_2024.adolescence.Astrocyte/rs4483152_count_position.png",4,220,900)</f>
        <v/>
      </c>
      <c r="T3869">
        <f>IMAGE("https://mitra.stanford.edu/kundaje/oak/projects/neuro-variants/variant_position/credible/roussos_2024/variant_figures/roussos_2024.adolescence.Astrocyte/rs4483152_profile_position.png",4,220,900)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0.397827818</v>
      </c>
      <c r="G3870" t="n">
        <v>0.0028436690415888</v>
      </c>
      <c r="H3870" t="n">
        <v>0.050789046449107</v>
      </c>
      <c r="I3870" t="n">
        <v>0.0043434814055926</v>
      </c>
      <c r="J3870" t="n">
        <v>0.0241439931163397</v>
      </c>
      <c r="K3870" t="n">
        <v>0.5495298206806543</v>
      </c>
      <c r="L3870" t="b">
        <v>1</v>
      </c>
      <c r="M3870" t="b">
        <v>1</v>
      </c>
      <c r="N3870" t="inlineStr">
        <is>
          <t>alt</t>
        </is>
      </c>
      <c r="O3870" t="n">
        <v>25</v>
      </c>
      <c r="P3870" t="n">
        <v>0.0038</v>
      </c>
      <c r="Q3870" t="n">
        <v>0</v>
      </c>
      <c r="R3870" t="n">
        <v>0</v>
      </c>
      <c r="S3870">
        <f>IMAGE("https://mitra.stanford.edu/kundaje/oak/projects/neuro-variants/variant_position/credible/roussos_2024/variant_figures/roussos_2024.adolescence.Astrocyte/rs2953935_count_position.png",4,220,900)</f>
        <v/>
      </c>
      <c r="T3870">
        <f>IMAGE("https://mitra.stanford.edu/kundaje/oak/projects/neuro-variants/variant_position/credible/roussos_2024/variant_figures/roussos_2024.adolescence.Astrocyte/rs2953935_profile_position.png",4,220,900)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-0.0185856388799999</v>
      </c>
      <c r="G3871" t="n">
        <v>0.5798169093798958</v>
      </c>
      <c r="H3871" t="n">
        <v>0.012295110275474</v>
      </c>
      <c r="I3871" t="n">
        <v>0.5249616386425685</v>
      </c>
      <c r="J3871" t="n">
        <v>0.0122199804171734</v>
      </c>
      <c r="K3871" t="n">
        <v>0.6431151707752989</v>
      </c>
      <c r="L3871" t="b">
        <v>0</v>
      </c>
      <c r="M3871" t="b">
        <v>0</v>
      </c>
      <c r="N3871" t="inlineStr">
        <is>
          <t>ref</t>
        </is>
      </c>
      <c r="O3871" t="n">
        <v>100</v>
      </c>
      <c r="P3871" t="n">
        <v>0.006416</v>
      </c>
      <c r="Q3871" t="n">
        <v>70</v>
      </c>
      <c r="R3871" t="n">
        <v>0.06714000000000001</v>
      </c>
      <c r="S3871">
        <f>IMAGE("https://mitra.stanford.edu/kundaje/oak/projects/neuro-variants/variant_position/credible/roussos_2024/variant_figures/roussos_2024.adolescence.Astrocyte/rs79845297_count_position.png",4,220,900)</f>
        <v/>
      </c>
      <c r="T3871">
        <f>IMAGE("https://mitra.stanford.edu/kundaje/oak/projects/neuro-variants/variant_position/credible/roussos_2024/variant_figures/roussos_2024.adolescence.Astrocyte/rs79845297_profile_position.png",4,220,900)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-0.0025174369999999</v>
      </c>
      <c r="G3872" t="n">
        <v>0.2189879315784169</v>
      </c>
      <c r="H3872" t="n">
        <v>0.0144038992324113</v>
      </c>
      <c r="I3872" t="n">
        <v>0.3621039191390754</v>
      </c>
      <c r="J3872" t="n">
        <v>0.0375285582885795</v>
      </c>
      <c r="K3872" t="n">
        <v>0.4972789283513847</v>
      </c>
      <c r="L3872" t="b">
        <v>0</v>
      </c>
      <c r="M3872" t="b">
        <v>0</v>
      </c>
      <c r="N3872" t="inlineStr">
        <is>
          <t>ref</t>
        </is>
      </c>
      <c r="O3872" t="n">
        <v>-40</v>
      </c>
      <c r="P3872" t="n">
        <v>0.005096</v>
      </c>
      <c r="Q3872" t="n">
        <v>-40</v>
      </c>
      <c r="R3872" t="n">
        <v>0.0791</v>
      </c>
      <c r="S3872">
        <f>IMAGE("https://mitra.stanford.edu/kundaje/oak/projects/neuro-variants/variant_position/credible/roussos_2024/variant_figures/roussos_2024.adolescence.Astrocyte/rs2609620_count_position.png",4,220,900)</f>
        <v/>
      </c>
      <c r="T3872">
        <f>IMAGE("https://mitra.stanford.edu/kundaje/oak/projects/neuro-variants/variant_position/credible/roussos_2024/variant_figures/roussos_2024.adolescence.Astrocyte/rs2609620_profile_position.png",4,220,900)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0.1965989154</v>
      </c>
      <c r="G3873" t="n">
        <v>0.0207007876732965</v>
      </c>
      <c r="H3873" t="n">
        <v>0.0266368016111423</v>
      </c>
      <c r="I3873" t="n">
        <v>0.0509068871639534</v>
      </c>
      <c r="J3873" t="n">
        <v>0.2305996498827997</v>
      </c>
      <c r="K3873" t="n">
        <v>0.1795871198326194</v>
      </c>
      <c r="L3873" t="b">
        <v>0</v>
      </c>
      <c r="M3873" t="b">
        <v>0</v>
      </c>
      <c r="N3873" t="inlineStr">
        <is>
          <t>alt</t>
        </is>
      </c>
      <c r="O3873" t="n">
        <v>-100</v>
      </c>
      <c r="P3873" t="n">
        <v>0.0351</v>
      </c>
      <c r="Q3873" t="n">
        <v>20</v>
      </c>
      <c r="R3873" t="n">
        <v>0.01758</v>
      </c>
      <c r="S3873">
        <f>IMAGE("https://mitra.stanford.edu/kundaje/oak/projects/neuro-variants/variant_position/credible/roussos_2024/variant_figures/roussos_2024.adolescence.Astrocyte/rs2609622_count_position.png",4,220,900)</f>
        <v/>
      </c>
      <c r="T3873">
        <f>IMAGE("https://mitra.stanford.edu/kundaje/oak/projects/neuro-variants/variant_position/credible/roussos_2024/variant_figures/roussos_2024.adolescence.Astrocyte/rs2609622_profile_position.png",4,220,900)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0.0353755666</v>
      </c>
      <c r="G3874" t="n">
        <v>0.3681087443225733</v>
      </c>
      <c r="H3874" t="n">
        <v>0.015084918050101</v>
      </c>
      <c r="I3874" t="n">
        <v>0.3170643115665027</v>
      </c>
      <c r="J3874" t="n">
        <v>0.0048341393941191</v>
      </c>
      <c r="K3874" t="n">
        <v>0.7472287811045972</v>
      </c>
      <c r="L3874" t="b">
        <v>0</v>
      </c>
      <c r="M3874" t="b">
        <v>0</v>
      </c>
      <c r="N3874" t="inlineStr">
        <is>
          <t>alt</t>
        </is>
      </c>
      <c r="O3874" t="n">
        <v>-100</v>
      </c>
      <c r="P3874" t="n">
        <v>0.01259</v>
      </c>
      <c r="Q3874" t="n">
        <v>-45</v>
      </c>
      <c r="R3874" t="n">
        <v>0.0747</v>
      </c>
      <c r="S3874">
        <f>IMAGE("https://mitra.stanford.edu/kundaje/oak/projects/neuro-variants/variant_position/credible/roussos_2024/variant_figures/roussos_2024.adolescence.Astrocyte/rs2719322_count_position.png",4,220,900)</f>
        <v/>
      </c>
      <c r="T3874">
        <f>IMAGE("https://mitra.stanford.edu/kundaje/oak/projects/neuro-variants/variant_position/credible/roussos_2024/variant_figures/roussos_2024.adolescence.Astrocyte/rs2719322_profile_position.png",4,220,900)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-0.0016754508</v>
      </c>
      <c r="G3875" t="n">
        <v>0.5489347525884612</v>
      </c>
      <c r="H3875" t="n">
        <v>0.0259779020408726</v>
      </c>
      <c r="I3875" t="n">
        <v>0.0548452102893972</v>
      </c>
      <c r="J3875" t="n">
        <v>0.3310640002373676</v>
      </c>
      <c r="K3875" t="n">
        <v>0.1169244816620956</v>
      </c>
      <c r="L3875" t="b">
        <v>0</v>
      </c>
      <c r="M3875" t="b">
        <v>0</v>
      </c>
      <c r="N3875" t="inlineStr">
        <is>
          <t>ref</t>
        </is>
      </c>
      <c r="O3875" t="n">
        <v>55</v>
      </c>
      <c r="P3875" t="n">
        <v>0.001244</v>
      </c>
      <c r="Q3875" t="n">
        <v>55</v>
      </c>
      <c r="R3875" t="n">
        <v>0.0781</v>
      </c>
      <c r="S3875">
        <f>IMAGE("https://mitra.stanford.edu/kundaje/oak/projects/neuro-variants/variant_position/credible/roussos_2024/variant_figures/roussos_2024.adolescence.Astrocyte/rs75428749_count_position.png",4,220,900)</f>
        <v/>
      </c>
      <c r="T3875">
        <f>IMAGE("https://mitra.stanford.edu/kundaje/oak/projects/neuro-variants/variant_position/credible/roussos_2024/variant_figures/roussos_2024.adolescence.Astrocyte/rs75428749_profile_position.png",4,220,900)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-0.01023674946</v>
      </c>
      <c r="G3876" t="n">
        <v>0.640904068692431</v>
      </c>
      <c r="H3876" t="n">
        <v>0.0134830555525001</v>
      </c>
      <c r="I3876" t="n">
        <v>0.4250621107681076</v>
      </c>
      <c r="J3876" t="n">
        <v>0.0318057739667091</v>
      </c>
      <c r="K3876" t="n">
        <v>0.5087311458977516</v>
      </c>
      <c r="L3876" t="b">
        <v>0</v>
      </c>
      <c r="M3876" t="b">
        <v>0</v>
      </c>
      <c r="N3876" t="inlineStr">
        <is>
          <t>ref</t>
        </is>
      </c>
      <c r="O3876" t="n">
        <v>-25</v>
      </c>
      <c r="P3876" t="n">
        <v>0.0048</v>
      </c>
      <c r="Q3876" t="n">
        <v>20</v>
      </c>
      <c r="R3876" t="n">
        <v>0.02283</v>
      </c>
      <c r="S3876">
        <f>IMAGE("https://mitra.stanford.edu/kundaje/oak/projects/neuro-variants/variant_position/credible/roussos_2024/variant_figures/roussos_2024.adolescence.Astrocyte/rs73674310_count_position.png",4,220,900)</f>
        <v/>
      </c>
      <c r="T3876">
        <f>IMAGE("https://mitra.stanford.edu/kundaje/oak/projects/neuro-variants/variant_position/credible/roussos_2024/variant_figures/roussos_2024.adolescence.Astrocyte/rs73674310_profile_position.png",4,220,900)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-0.0174491658</v>
      </c>
      <c r="G3877" t="n">
        <v>0.5953329522157821</v>
      </c>
      <c r="H3877" t="n">
        <v>0.0117185277950449</v>
      </c>
      <c r="I3877" t="n">
        <v>0.5713613691477077</v>
      </c>
      <c r="J3877" t="n">
        <v>0.0025554104975817</v>
      </c>
      <c r="K3877" t="n">
        <v>0.8187949582124491</v>
      </c>
      <c r="L3877" t="b">
        <v>0</v>
      </c>
      <c r="M3877" t="b">
        <v>0</v>
      </c>
      <c r="N3877" t="inlineStr">
        <is>
          <t>ref</t>
        </is>
      </c>
      <c r="O3877" t="n">
        <v>-100</v>
      </c>
      <c r="P3877" t="n">
        <v>0.0086</v>
      </c>
      <c r="Q3877" t="n">
        <v>-95</v>
      </c>
      <c r="R3877" t="n">
        <v>0.06950000000000001</v>
      </c>
      <c r="S3877">
        <f>IMAGE("https://mitra.stanford.edu/kundaje/oak/projects/neuro-variants/variant_position/credible/roussos_2024/variant_figures/roussos_2024.adolescence.Astrocyte/rs1458903_count_position.png",4,220,900)</f>
        <v/>
      </c>
      <c r="T3877">
        <f>IMAGE("https://mitra.stanford.edu/kundaje/oak/projects/neuro-variants/variant_position/credible/roussos_2024/variant_figures/roussos_2024.adolescence.Astrocyte/rs1458903_profile_position.png",4,220,900)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-0.1692108319999999</v>
      </c>
      <c r="G3878" t="n">
        <v>0.0290931823563834</v>
      </c>
      <c r="H3878" t="n">
        <v>0.0177704056112976</v>
      </c>
      <c r="I3878" t="n">
        <v>0.2007327838808318</v>
      </c>
      <c r="J3878" t="n">
        <v>0.1440665519389965</v>
      </c>
      <c r="K3878" t="n">
        <v>0.267923251329328</v>
      </c>
      <c r="L3878" t="b">
        <v>0</v>
      </c>
      <c r="M3878" t="b">
        <v>0</v>
      </c>
      <c r="N3878" t="inlineStr">
        <is>
          <t>ref</t>
        </is>
      </c>
      <c r="O3878" t="n">
        <v>80</v>
      </c>
      <c r="P3878" t="n">
        <v>0.03088</v>
      </c>
      <c r="Q3878" t="n">
        <v>95</v>
      </c>
      <c r="R3878" t="n">
        <v>0.3262</v>
      </c>
      <c r="S3878">
        <f>IMAGE("https://mitra.stanford.edu/kundaje/oak/projects/neuro-variants/variant_position/credible/roussos_2024/variant_figures/roussos_2024.adolescence.Astrocyte/rs73674323_count_position.png",4,220,900)</f>
        <v/>
      </c>
      <c r="T3878">
        <f>IMAGE("https://mitra.stanford.edu/kundaje/oak/projects/neuro-variants/variant_position/credible/roussos_2024/variant_figures/roussos_2024.adolescence.Astrocyte/rs73674323_profile_position.png",4,220,900)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-0.00562705772</v>
      </c>
      <c r="G3879" t="n">
        <v>0.8612525071972996</v>
      </c>
      <c r="H3879" t="n">
        <v>0.0112260417967355</v>
      </c>
      <c r="I3879" t="n">
        <v>0.6330800447851058</v>
      </c>
      <c r="J3879" t="n">
        <v>0.0293868498353262</v>
      </c>
      <c r="K3879" t="n">
        <v>0.5284300174961094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0.02774</v>
      </c>
      <c r="Q3879" t="n">
        <v>-100</v>
      </c>
      <c r="R3879" t="n">
        <v>0.05197</v>
      </c>
      <c r="S3879">
        <f>IMAGE("https://mitra.stanford.edu/kundaje/oak/projects/neuro-variants/variant_position/credible/roussos_2024/variant_figures/roussos_2024.adolescence.Astrocyte/rs74931817_count_position.png",4,220,900)</f>
        <v/>
      </c>
      <c r="T3879">
        <f>IMAGE("https://mitra.stanford.edu/kundaje/oak/projects/neuro-variants/variant_position/credible/roussos_2024/variant_figures/roussos_2024.adolescence.Astrocyte/rs74931817_profile_position.png",4,220,900)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0.352867942</v>
      </c>
      <c r="G3880" t="n">
        <v>0.0037354089157533</v>
      </c>
      <c r="H3880" t="n">
        <v>0.0402920778236393</v>
      </c>
      <c r="I3880" t="n">
        <v>0.0094418163869087</v>
      </c>
      <c r="J3880" t="n">
        <v>0.0104686526421979</v>
      </c>
      <c r="K3880" t="n">
        <v>0.6525961402186468</v>
      </c>
      <c r="L3880" t="b">
        <v>1</v>
      </c>
      <c r="M3880" t="b">
        <v>1</v>
      </c>
      <c r="N3880" t="inlineStr">
        <is>
          <t>alt</t>
        </is>
      </c>
      <c r="O3880" t="n">
        <v>-60</v>
      </c>
      <c r="P3880" t="n">
        <v>0.007427</v>
      </c>
      <c r="Q3880" t="n">
        <v>45</v>
      </c>
      <c r="R3880" t="n">
        <v>0.08450000000000001</v>
      </c>
      <c r="S3880">
        <f>IMAGE("https://mitra.stanford.edu/kundaje/oak/projects/neuro-variants/variant_position/credible/roussos_2024/variant_figures/roussos_2024.adolescence.Astrocyte/rs1562183_count_position.png",4,220,900)</f>
        <v/>
      </c>
      <c r="T3880">
        <f>IMAGE("https://mitra.stanford.edu/kundaje/oak/projects/neuro-variants/variant_position/credible/roussos_2024/variant_figures/roussos_2024.adolescence.Astrocyte/rs1562183_profile_position.png",4,220,900)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-0.0228446226</v>
      </c>
      <c r="G3881" t="n">
        <v>0.5153210842079099</v>
      </c>
      <c r="H3881" t="n">
        <v>0.0286663956806155</v>
      </c>
      <c r="I3881" t="n">
        <v>0.0373468615625047</v>
      </c>
      <c r="J3881" t="n">
        <v>0.000336765273121</v>
      </c>
      <c r="K3881" t="n">
        <v>0.9383854524251491</v>
      </c>
      <c r="L3881" t="b">
        <v>0</v>
      </c>
      <c r="M3881" t="b">
        <v>0</v>
      </c>
      <c r="N3881" t="inlineStr">
        <is>
          <t>ref</t>
        </is>
      </c>
      <c r="O3881" t="n">
        <v>-95</v>
      </c>
      <c r="P3881" t="n">
        <v>0.3843</v>
      </c>
      <c r="Q3881" t="n">
        <v>-100</v>
      </c>
      <c r="R3881" t="n">
        <v>0.246</v>
      </c>
      <c r="S3881">
        <f>IMAGE("https://mitra.stanford.edu/kundaje/oak/projects/neuro-variants/variant_position/credible/roussos_2024/variant_figures/roussos_2024.adolescence.Astrocyte/rs78759621_count_position.png",4,220,900)</f>
        <v/>
      </c>
      <c r="T3881">
        <f>IMAGE("https://mitra.stanford.edu/kundaje/oak/projects/neuro-variants/variant_position/credible/roussos_2024/variant_figures/roussos_2024.adolescence.Astrocyte/rs78759621_profile_position.png",4,220,900)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-0.0168364207999999</v>
      </c>
      <c r="G3882" t="n">
        <v>0.6057768655582187</v>
      </c>
      <c r="H3882" t="n">
        <v>0.0246273833823803</v>
      </c>
      <c r="I3882" t="n">
        <v>0.0665041636563887</v>
      </c>
      <c r="J3882" t="n">
        <v>0.0241632792333026</v>
      </c>
      <c r="K3882" t="n">
        <v>0.55152472377562</v>
      </c>
      <c r="L3882" t="b">
        <v>0</v>
      </c>
      <c r="M3882" t="b">
        <v>0</v>
      </c>
      <c r="N3882" t="inlineStr">
        <is>
          <t>ref</t>
        </is>
      </c>
      <c r="O3882" t="n">
        <v>0</v>
      </c>
      <c r="P3882" t="n">
        <v>0</v>
      </c>
      <c r="Q3882" t="n">
        <v>-100</v>
      </c>
      <c r="R3882" t="n">
        <v>0.1891</v>
      </c>
      <c r="S3882">
        <f>IMAGE("https://mitra.stanford.edu/kundaje/oak/projects/neuro-variants/variant_position/credible/roussos_2024/variant_figures/roussos_2024.adolescence.Astrocyte/rs16882072_count_position.png",4,220,900)</f>
        <v/>
      </c>
      <c r="T3882">
        <f>IMAGE("https://mitra.stanford.edu/kundaje/oak/projects/neuro-variants/variant_position/credible/roussos_2024/variant_figures/roussos_2024.adolescence.Astrocyte/rs16882072_profile_position.png",4,220,900)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0.0015361603799999</v>
      </c>
      <c r="G3883" t="n">
        <v>0.6024916443975231</v>
      </c>
      <c r="H3883" t="n">
        <v>0.0263589501173637</v>
      </c>
      <c r="I3883" t="n">
        <v>0.0514281155456577</v>
      </c>
      <c r="J3883" t="n">
        <v>0.0848841349434768</v>
      </c>
      <c r="K3883" t="n">
        <v>0.3506104064367111</v>
      </c>
      <c r="L3883" t="b">
        <v>0</v>
      </c>
      <c r="M3883" t="b">
        <v>0</v>
      </c>
      <c r="N3883" t="inlineStr">
        <is>
          <t>alt</t>
        </is>
      </c>
      <c r="O3883" t="n">
        <v>-75</v>
      </c>
      <c r="P3883" t="n">
        <v>0.01563</v>
      </c>
      <c r="Q3883" t="n">
        <v>-50</v>
      </c>
      <c r="R3883" t="n">
        <v>0.1235</v>
      </c>
      <c r="S3883">
        <f>IMAGE("https://mitra.stanford.edu/kundaje/oak/projects/neuro-variants/variant_position/credible/roussos_2024/variant_figures/roussos_2024.adolescence.Astrocyte/rs11779986_count_position.png",4,220,900)</f>
        <v/>
      </c>
      <c r="T3883">
        <f>IMAGE("https://mitra.stanford.edu/kundaje/oak/projects/neuro-variants/variant_position/credible/roussos_2024/variant_figures/roussos_2024.adolescence.Astrocyte/rs11779986_profile_position.png",4,220,900)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0.0627265274</v>
      </c>
      <c r="G3884" t="n">
        <v>0.1679615143976923</v>
      </c>
      <c r="H3884" t="n">
        <v>0.0128964458939803</v>
      </c>
      <c r="I3884" t="n">
        <v>0.4684413320759611</v>
      </c>
      <c r="J3884" t="n">
        <v>0.0649526748360679</v>
      </c>
      <c r="K3884" t="n">
        <v>0.3947740779822626</v>
      </c>
      <c r="L3884" t="b">
        <v>0</v>
      </c>
      <c r="M3884" t="b">
        <v>0</v>
      </c>
      <c r="N3884" t="inlineStr">
        <is>
          <t>alt</t>
        </is>
      </c>
      <c r="O3884" t="n">
        <v>-40</v>
      </c>
      <c r="P3884" t="n">
        <v>0.01196</v>
      </c>
      <c r="Q3884" t="n">
        <v>20</v>
      </c>
      <c r="R3884" t="n">
        <v>0.0349</v>
      </c>
      <c r="S3884">
        <f>IMAGE("https://mitra.stanford.edu/kundaje/oak/projects/neuro-variants/variant_position/credible/roussos_2024/variant_figures/roussos_2024.adolescence.Astrocyte/rs4537271_count_position.png",4,220,900)</f>
        <v/>
      </c>
      <c r="T3884">
        <f>IMAGE("https://mitra.stanford.edu/kundaje/oak/projects/neuro-variants/variant_position/credible/roussos_2024/variant_figures/roussos_2024.adolescence.Astrocyte/rs4537271_profile_position.png",4,220,900)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-0.0168339105999999</v>
      </c>
      <c r="G3885" t="n">
        <v>0.610153264679812</v>
      </c>
      <c r="H3885" t="n">
        <v>0.0614840832427708</v>
      </c>
      <c r="I3885" t="n">
        <v>0.0018211598035824</v>
      </c>
      <c r="J3885" t="n">
        <v>0.0028202237189567</v>
      </c>
      <c r="K3885" t="n">
        <v>0.8074551658359346</v>
      </c>
      <c r="L3885" t="b">
        <v>0</v>
      </c>
      <c r="M3885" t="b">
        <v>0</v>
      </c>
      <c r="N3885" t="inlineStr">
        <is>
          <t>ref</t>
        </is>
      </c>
      <c r="O3885" t="n">
        <v>35</v>
      </c>
      <c r="P3885" t="n">
        <v>0.001831</v>
      </c>
      <c r="Q3885" t="n">
        <v>100</v>
      </c>
      <c r="R3885" t="n">
        <v>0.0332</v>
      </c>
      <c r="S3885">
        <f>IMAGE("https://mitra.stanford.edu/kundaje/oak/projects/neuro-variants/variant_position/credible/roussos_2024/variant_figures/roussos_2024.adolescence.Astrocyte/rs111373244_count_position.png",4,220,900)</f>
        <v/>
      </c>
      <c r="T3885">
        <f>IMAGE("https://mitra.stanford.edu/kundaje/oak/projects/neuro-variants/variant_position/credible/roussos_2024/variant_figures/roussos_2024.adolescence.Astrocyte/rs111373244_profile_position.png",4,220,900)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-0.0420452137999999</v>
      </c>
      <c r="G3886" t="n">
        <v>0.3028754429828806</v>
      </c>
      <c r="H3886" t="n">
        <v>0.0798082223771065</v>
      </c>
      <c r="I3886" t="n">
        <v>0.0007574077052473</v>
      </c>
      <c r="J3886" t="n">
        <v>0.0115152953742989</v>
      </c>
      <c r="K3886" t="n">
        <v>0.671676422317202</v>
      </c>
      <c r="L3886" t="b">
        <v>1</v>
      </c>
      <c r="M3886" t="b">
        <v>0</v>
      </c>
      <c r="N3886" t="inlineStr">
        <is>
          <t>ref</t>
        </is>
      </c>
      <c r="O3886" t="n">
        <v>-40</v>
      </c>
      <c r="P3886" t="n">
        <v>0.001831</v>
      </c>
      <c r="Q3886" t="n">
        <v>-95</v>
      </c>
      <c r="R3886" t="n">
        <v>0.03784</v>
      </c>
      <c r="S3886">
        <f>IMAGE("https://mitra.stanford.edu/kundaje/oak/projects/neuro-variants/variant_position/credible/roussos_2024/variant_figures/roussos_2024.adolescence.Astrocyte/rs150171772_count_position.png",4,220,900)</f>
        <v/>
      </c>
      <c r="T3886">
        <f>IMAGE("https://mitra.stanford.edu/kundaje/oak/projects/neuro-variants/variant_position/credible/roussos_2024/variant_figures/roussos_2024.adolescence.Astrocyte/rs150171772_profile_position.png",4,220,900)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0.0235671778</v>
      </c>
      <c r="G3887" t="n">
        <v>0.4883311503408721</v>
      </c>
      <c r="H3887" t="n">
        <v>0.0264504844389852</v>
      </c>
      <c r="I3887" t="n">
        <v>0.0520961753030477</v>
      </c>
      <c r="J3887" t="n">
        <v>0.008341245586446199</v>
      </c>
      <c r="K3887" t="n">
        <v>0.6864773335430104</v>
      </c>
      <c r="L3887" t="b">
        <v>0</v>
      </c>
      <c r="M3887" t="b">
        <v>0</v>
      </c>
      <c r="N3887" t="inlineStr">
        <is>
          <t>alt</t>
        </is>
      </c>
      <c r="O3887" t="n">
        <v>-90</v>
      </c>
      <c r="P3887" t="n">
        <v>0.02264</v>
      </c>
      <c r="Q3887" t="n">
        <v>-100</v>
      </c>
      <c r="R3887" t="n">
        <v>0.0547</v>
      </c>
      <c r="S3887">
        <f>IMAGE("https://mitra.stanford.edu/kundaje/oak/projects/neuro-variants/variant_position/credible/roussos_2024/variant_figures/roussos_2024.adolescence.Astrocyte/rs10103315_count_position.png",4,220,900)</f>
        <v/>
      </c>
      <c r="T3887">
        <f>IMAGE("https://mitra.stanford.edu/kundaje/oak/projects/neuro-variants/variant_position/credible/roussos_2024/variant_figures/roussos_2024.adolescence.Astrocyte/rs10103315_profile_position.png",4,220,900)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-0.0742019942</v>
      </c>
      <c r="G3888" t="n">
        <v>0.1422146690195379</v>
      </c>
      <c r="H3888" t="n">
        <v>0.0252578164332518</v>
      </c>
      <c r="I3888" t="n">
        <v>0.0617759165664731</v>
      </c>
      <c r="J3888" t="n">
        <v>0.0019582826454617</v>
      </c>
      <c r="K3888" t="n">
        <v>0.8388877451318628</v>
      </c>
      <c r="L3888" t="b">
        <v>0</v>
      </c>
      <c r="M3888" t="b">
        <v>0</v>
      </c>
      <c r="N3888" t="inlineStr">
        <is>
          <t>ref</t>
        </is>
      </c>
      <c r="O3888" t="n">
        <v>50</v>
      </c>
      <c r="P3888" t="n">
        <v>0.003544</v>
      </c>
      <c r="Q3888" t="n">
        <v>75</v>
      </c>
      <c r="R3888" t="n">
        <v>0.2214</v>
      </c>
      <c r="S3888">
        <f>IMAGE("https://mitra.stanford.edu/kundaje/oak/projects/neuro-variants/variant_position/credible/roussos_2024/variant_figures/roussos_2024.adolescence.Astrocyte/rs56058270_count_position.png",4,220,900)</f>
        <v/>
      </c>
      <c r="T3888">
        <f>IMAGE("https://mitra.stanford.edu/kundaje/oak/projects/neuro-variants/variant_position/credible/roussos_2024/variant_figures/roussos_2024.adolescence.Astrocyte/rs56058270_profile_position.png",4,220,900)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0.340346804</v>
      </c>
      <c r="G3889" t="n">
        <v>0.005477699841333</v>
      </c>
      <c r="H3889" t="n">
        <v>0.0895516113089819</v>
      </c>
      <c r="I3889" t="n">
        <v>0.0008385332005622</v>
      </c>
      <c r="J3889" t="n">
        <v>0.0929746610094056</v>
      </c>
      <c r="K3889" t="n">
        <v>0.3347674787806373</v>
      </c>
      <c r="L3889" t="b">
        <v>1</v>
      </c>
      <c r="M3889" t="b">
        <v>1</v>
      </c>
      <c r="N3889" t="inlineStr">
        <is>
          <t>alt</t>
        </is>
      </c>
      <c r="O3889" t="n">
        <v>5</v>
      </c>
      <c r="P3889" t="n">
        <v>0.0003662</v>
      </c>
      <c r="Q3889" t="n">
        <v>20</v>
      </c>
      <c r="R3889" t="n">
        <v>0.02954</v>
      </c>
      <c r="S3889">
        <f>IMAGE("https://mitra.stanford.edu/kundaje/oak/projects/neuro-variants/variant_position/credible/roussos_2024/variant_figures/roussos_2024.adolescence.Astrocyte/rs57984710_count_position.png",4,220,900)</f>
        <v/>
      </c>
      <c r="T3889">
        <f>IMAGE("https://mitra.stanford.edu/kundaje/oak/projects/neuro-variants/variant_position/credible/roussos_2024/variant_figures/roussos_2024.adolescence.Astrocyte/rs57984710_profile_position.png",4,220,900)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-0.060282045</v>
      </c>
      <c r="G3890" t="n">
        <v>0.184717097902363</v>
      </c>
      <c r="H3890" t="n">
        <v>0.0101766797128792</v>
      </c>
      <c r="I3890" t="n">
        <v>0.7464115151051768</v>
      </c>
      <c r="J3890" t="n">
        <v>0.0253352817256623</v>
      </c>
      <c r="K3890" t="n">
        <v>0.5467748145401268</v>
      </c>
      <c r="L3890" t="b">
        <v>0</v>
      </c>
      <c r="M3890" t="b">
        <v>0</v>
      </c>
      <c r="N3890" t="inlineStr">
        <is>
          <t>ref</t>
        </is>
      </c>
      <c r="O3890" t="n">
        <v>20</v>
      </c>
      <c r="P3890" t="n">
        <v>0.003582</v>
      </c>
      <c r="Q3890" t="n">
        <v>95</v>
      </c>
      <c r="R3890" t="n">
        <v>0.0929</v>
      </c>
      <c r="S3890">
        <f>IMAGE("https://mitra.stanford.edu/kundaje/oak/projects/neuro-variants/variant_position/credible/roussos_2024/variant_figures/roussos_2024.adolescence.Astrocyte/rs1488934_count_position.png",4,220,900)</f>
        <v/>
      </c>
      <c r="T3890">
        <f>IMAGE("https://mitra.stanford.edu/kundaje/oak/projects/neuro-variants/variant_position/credible/roussos_2024/variant_figures/roussos_2024.adolescence.Astrocyte/rs1488934_profile_position.png",4,220,900)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-0.0133925387</v>
      </c>
      <c r="G3891" t="n">
        <v>0.6791604371544715</v>
      </c>
      <c r="H3891" t="n">
        <v>0.0080877208359025</v>
      </c>
      <c r="I3891" t="n">
        <v>0.8818835194564342</v>
      </c>
      <c r="J3891" t="n">
        <v>0.0176356704150965</v>
      </c>
      <c r="K3891" t="n">
        <v>0.6088824767028773</v>
      </c>
      <c r="L3891" t="b">
        <v>0</v>
      </c>
      <c r="M3891" t="b">
        <v>0</v>
      </c>
      <c r="N3891" t="inlineStr">
        <is>
          <t>ref</t>
        </is>
      </c>
      <c r="O3891" t="n">
        <v>-60</v>
      </c>
      <c r="P3891" t="n">
        <v>0.00817</v>
      </c>
      <c r="Q3891" t="n">
        <v>100</v>
      </c>
      <c r="R3891" t="n">
        <v>0.0569</v>
      </c>
      <c r="S3891">
        <f>IMAGE("https://mitra.stanford.edu/kundaje/oak/projects/neuro-variants/variant_position/credible/roussos_2024/variant_figures/roussos_2024.adolescence.Astrocyte/rs1488935_count_position.png",4,220,900)</f>
        <v/>
      </c>
      <c r="T3891">
        <f>IMAGE("https://mitra.stanford.edu/kundaje/oak/projects/neuro-variants/variant_position/credible/roussos_2024/variant_figures/roussos_2024.adolescence.Astrocyte/rs1488935_profile_position.png",4,220,900)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0.0734140896</v>
      </c>
      <c r="G3892" t="n">
        <v>0.1536180321873571</v>
      </c>
      <c r="H3892" t="n">
        <v>0.0187226529980857</v>
      </c>
      <c r="I3892" t="n">
        <v>0.1687598844554083</v>
      </c>
      <c r="J3892" t="n">
        <v>0.1937668753523424</v>
      </c>
      <c r="K3892" t="n">
        <v>0.2108359558222299</v>
      </c>
      <c r="L3892" t="b">
        <v>0</v>
      </c>
      <c r="M3892" t="b">
        <v>0</v>
      </c>
      <c r="N3892" t="inlineStr">
        <is>
          <t>alt</t>
        </is>
      </c>
      <c r="O3892" t="n">
        <v>-70</v>
      </c>
      <c r="P3892" t="n">
        <v>0.007603</v>
      </c>
      <c r="Q3892" t="n">
        <v>-5</v>
      </c>
      <c r="R3892" t="n">
        <v>0.02661</v>
      </c>
      <c r="S3892">
        <f>IMAGE("https://mitra.stanford.edu/kundaje/oak/projects/neuro-variants/variant_position/credible/roussos_2024/variant_figures/roussos_2024.adolescence.Astrocyte/rs12674515_count_position.png",4,220,900)</f>
        <v/>
      </c>
      <c r="T3892">
        <f>IMAGE("https://mitra.stanford.edu/kundaje/oak/projects/neuro-variants/variant_position/credible/roussos_2024/variant_figures/roussos_2024.adolescence.Astrocyte/rs12674515_profile_position.png",4,220,900)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-0.00193900924</v>
      </c>
      <c r="G3893" t="n">
        <v>0.7856674942830345</v>
      </c>
      <c r="H3893" t="n">
        <v>0.0245673775050615</v>
      </c>
      <c r="I3893" t="n">
        <v>0.06732458383501271</v>
      </c>
      <c r="J3893" t="n">
        <v>0.0008181764234637</v>
      </c>
      <c r="K3893" t="n">
        <v>0.8887866398717227</v>
      </c>
      <c r="L3893" t="b">
        <v>0</v>
      </c>
      <c r="M3893" t="b">
        <v>0</v>
      </c>
      <c r="N3893" t="inlineStr">
        <is>
          <t>ref</t>
        </is>
      </c>
      <c r="O3893" t="n">
        <v>-10</v>
      </c>
      <c r="P3893" t="n">
        <v>0.005226</v>
      </c>
      <c r="Q3893" t="n">
        <v>-10</v>
      </c>
      <c r="R3893" t="n">
        <v>0.02612</v>
      </c>
      <c r="S3893">
        <f>IMAGE("https://mitra.stanford.edu/kundaje/oak/projects/neuro-variants/variant_position/credible/roussos_2024/variant_figures/roussos_2024.adolescence.Astrocyte/rs7845284_count_position.png",4,220,900)</f>
        <v/>
      </c>
      <c r="T3893">
        <f>IMAGE("https://mitra.stanford.edu/kundaje/oak/projects/neuro-variants/variant_position/credible/roussos_2024/variant_figures/roussos_2024.adolescence.Astrocyte/rs7845284_profile_position.png",4,220,900)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0.0126168931399999</v>
      </c>
      <c r="G3894" t="n">
        <v>0.6330986597766104</v>
      </c>
      <c r="H3894" t="n">
        <v>0.0120931096959583</v>
      </c>
      <c r="I3894" t="n">
        <v>0.541720143564642</v>
      </c>
      <c r="J3894" t="n">
        <v>0.0021971337863097</v>
      </c>
      <c r="K3894" t="n">
        <v>0.8293515052400454</v>
      </c>
      <c r="L3894" t="b">
        <v>0</v>
      </c>
      <c r="M3894" t="b">
        <v>0</v>
      </c>
      <c r="N3894" t="inlineStr">
        <is>
          <t>alt</t>
        </is>
      </c>
      <c r="O3894" t="n">
        <v>-60</v>
      </c>
      <c r="P3894" t="n">
        <v>0.001831</v>
      </c>
      <c r="Q3894" t="n">
        <v>0</v>
      </c>
      <c r="R3894" t="n">
        <v>0</v>
      </c>
      <c r="S3894">
        <f>IMAGE("https://mitra.stanford.edu/kundaje/oak/projects/neuro-variants/variant_position/credible/roussos_2024/variant_figures/roussos_2024.adolescence.Astrocyte/rs7823681_count_position.png",4,220,900)</f>
        <v/>
      </c>
      <c r="T3894">
        <f>IMAGE("https://mitra.stanford.edu/kundaje/oak/projects/neuro-variants/variant_position/credible/roussos_2024/variant_figures/roussos_2024.adolescence.Astrocyte/rs7823681_profile_position.png",4,220,900)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-0.0086167178</v>
      </c>
      <c r="G3895" t="n">
        <v>0.3543221774720316</v>
      </c>
      <c r="H3895" t="n">
        <v>0.0165595909487419</v>
      </c>
      <c r="I3895" t="n">
        <v>0.2516099434747448</v>
      </c>
      <c r="J3895" t="n">
        <v>0.0410920392843366</v>
      </c>
      <c r="K3895" t="n">
        <v>0.4818450561958681</v>
      </c>
      <c r="L3895" t="b">
        <v>0</v>
      </c>
      <c r="M3895" t="b">
        <v>0</v>
      </c>
      <c r="N3895" t="inlineStr">
        <is>
          <t>ref</t>
        </is>
      </c>
      <c r="O3895" t="n">
        <v>-20</v>
      </c>
      <c r="P3895" t="n">
        <v>0.01294</v>
      </c>
      <c r="Q3895" t="n">
        <v>70</v>
      </c>
      <c r="R3895" t="n">
        <v>0.1185</v>
      </c>
      <c r="S3895">
        <f>IMAGE("https://mitra.stanford.edu/kundaje/oak/projects/neuro-variants/variant_position/credible/roussos_2024/variant_figures/roussos_2024.adolescence.Astrocyte/rs12386951_count_position.png",4,220,900)</f>
        <v/>
      </c>
      <c r="T3895">
        <f>IMAGE("https://mitra.stanford.edu/kundaje/oak/projects/neuro-variants/variant_position/credible/roussos_2024/variant_figures/roussos_2024.adolescence.Astrocyte/rs12386951_profile_position.png",4,220,900)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0.133005508</v>
      </c>
      <c r="G3896" t="n">
        <v>0.0491904830263661</v>
      </c>
      <c r="H3896" t="n">
        <v>0.0146820798595275</v>
      </c>
      <c r="I3896" t="n">
        <v>0.3485726030999461</v>
      </c>
      <c r="J3896" t="n">
        <v>8.159511022756013e-05</v>
      </c>
      <c r="K3896" t="n">
        <v>0.9840675315683654</v>
      </c>
      <c r="L3896" t="b">
        <v>0</v>
      </c>
      <c r="M3896" t="b">
        <v>0</v>
      </c>
      <c r="N3896" t="inlineStr">
        <is>
          <t>alt</t>
        </is>
      </c>
      <c r="O3896" t="n">
        <v>-95</v>
      </c>
      <c r="P3896" t="n">
        <v>0.00314</v>
      </c>
      <c r="Q3896" t="n">
        <v>60</v>
      </c>
      <c r="R3896" t="n">
        <v>0.09093999999999999</v>
      </c>
      <c r="S3896">
        <f>IMAGE("https://mitra.stanford.edu/kundaje/oak/projects/neuro-variants/variant_position/credible/roussos_2024/variant_figures/roussos_2024.adolescence.Astrocyte/rs28634296_count_position.png",4,220,900)</f>
        <v/>
      </c>
      <c r="T3896">
        <f>IMAGE("https://mitra.stanford.edu/kundaje/oak/projects/neuro-variants/variant_position/credible/roussos_2024/variant_figures/roussos_2024.adolescence.Astrocyte/rs28634296_profile_position.png",4,220,900)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-0.225907468</v>
      </c>
      <c r="G3897" t="n">
        <v>0.014594064537758</v>
      </c>
      <c r="H3897" t="n">
        <v>0.0334811850943689</v>
      </c>
      <c r="I3897" t="n">
        <v>0.0214830357390577</v>
      </c>
      <c r="J3897" t="n">
        <v>0.06792199507462229</v>
      </c>
      <c r="K3897" t="n">
        <v>0.3922894824700405</v>
      </c>
      <c r="L3897" t="b">
        <v>1</v>
      </c>
      <c r="M3897" t="b">
        <v>0</v>
      </c>
      <c r="N3897" t="inlineStr">
        <is>
          <t>ref</t>
        </is>
      </c>
      <c r="O3897" t="n">
        <v>-100</v>
      </c>
      <c r="P3897" t="n">
        <v>0.06604</v>
      </c>
      <c r="Q3897" t="n">
        <v>100</v>
      </c>
      <c r="R3897" t="n">
        <v>0.1621</v>
      </c>
      <c r="S3897">
        <f>IMAGE("https://mitra.stanford.edu/kundaje/oak/projects/neuro-variants/variant_position/credible/roussos_2024/variant_figures/roussos_2024.adolescence.Astrocyte/rs2130033_count_position.png",4,220,900)</f>
        <v/>
      </c>
      <c r="T3897">
        <f>IMAGE("https://mitra.stanford.edu/kundaje/oak/projects/neuro-variants/variant_position/credible/roussos_2024/variant_figures/roussos_2024.adolescence.Astrocyte/rs2130033_profile_position.png",4,220,900)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0.0983821359999999</v>
      </c>
      <c r="G3898" t="n">
        <v>0.07884039123432809</v>
      </c>
      <c r="H3898" t="n">
        <v>0.0120260091644722</v>
      </c>
      <c r="I3898" t="n">
        <v>0.5545472979921395</v>
      </c>
      <c r="J3898" t="n">
        <v>0.0006876242470996</v>
      </c>
      <c r="K3898" t="n">
        <v>0.9069698834390524</v>
      </c>
      <c r="L3898" t="b">
        <v>0</v>
      </c>
      <c r="M3898" t="b">
        <v>0</v>
      </c>
      <c r="N3898" t="inlineStr">
        <is>
          <t>alt</t>
        </is>
      </c>
      <c r="O3898" t="n">
        <v>100</v>
      </c>
      <c r="P3898" t="n">
        <v>0.01071</v>
      </c>
      <c r="Q3898" t="n">
        <v>-55</v>
      </c>
      <c r="R3898" t="n">
        <v>0.0638</v>
      </c>
      <c r="S3898">
        <f>IMAGE("https://mitra.stanford.edu/kundaje/oak/projects/neuro-variants/variant_position/credible/roussos_2024/variant_figures/roussos_2024.adolescence.Astrocyte/rs16887343_count_position.png",4,220,900)</f>
        <v/>
      </c>
      <c r="T3898">
        <f>IMAGE("https://mitra.stanford.edu/kundaje/oak/projects/neuro-variants/variant_position/credible/roussos_2024/variant_figures/roussos_2024.adolescence.Astrocyte/rs16887343_profile_position.png",4,220,900)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-0.0469372427999999</v>
      </c>
      <c r="G3899" t="n">
        <v>0.2406440705132116</v>
      </c>
      <c r="H3899" t="n">
        <v>0.0277356313400201</v>
      </c>
      <c r="I3899" t="n">
        <v>0.0483979044000953</v>
      </c>
      <c r="J3899" t="n">
        <v>0.9515465982256772</v>
      </c>
      <c r="K3899" t="n">
        <v>0.0001857727119829</v>
      </c>
      <c r="L3899" t="b">
        <v>0</v>
      </c>
      <c r="M3899" t="b">
        <v>0</v>
      </c>
      <c r="N3899" t="inlineStr">
        <is>
          <t>ref</t>
        </is>
      </c>
      <c r="O3899" t="n">
        <v>70</v>
      </c>
      <c r="P3899" t="n">
        <v>0.01141</v>
      </c>
      <c r="Q3899" t="n">
        <v>-65</v>
      </c>
      <c r="R3899" t="n">
        <v>0.06665</v>
      </c>
      <c r="S3899">
        <f>IMAGE("https://mitra.stanford.edu/kundaje/oak/projects/neuro-variants/variant_position/credible/roussos_2024/variant_figures/roussos_2024.adolescence.Astrocyte/rs60558877_count_position.png",4,220,900)</f>
        <v/>
      </c>
      <c r="T3899">
        <f>IMAGE("https://mitra.stanford.edu/kundaje/oak/projects/neuro-variants/variant_position/credible/roussos_2024/variant_figures/roussos_2024.adolescence.Astrocyte/rs60558877_profile_position.png",4,220,900)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-0.09342275559999989</v>
      </c>
      <c r="G3900" t="n">
        <v>0.1480518454794114</v>
      </c>
      <c r="H3900" t="n">
        <v>0.0273069042784641</v>
      </c>
      <c r="I3900" t="n">
        <v>0.052076661985767</v>
      </c>
      <c r="J3900" t="n">
        <v>0.646797021036703</v>
      </c>
      <c r="K3900" t="n">
        <v>0.0248603542575811</v>
      </c>
      <c r="L3900" t="b">
        <v>0</v>
      </c>
      <c r="M3900" t="b">
        <v>0</v>
      </c>
      <c r="N3900" t="inlineStr">
        <is>
          <t>ref</t>
        </is>
      </c>
      <c r="O3900" t="n">
        <v>100</v>
      </c>
      <c r="P3900" t="n">
        <v>0.01422</v>
      </c>
      <c r="Q3900" t="n">
        <v>100</v>
      </c>
      <c r="R3900" t="n">
        <v>0.4683</v>
      </c>
      <c r="S3900">
        <f>IMAGE("https://mitra.stanford.edu/kundaje/oak/projects/neuro-variants/variant_position/credible/roussos_2024/variant_figures/roussos_2024.adolescence.Astrocyte/rs2016875_count_position.png",4,220,900)</f>
        <v/>
      </c>
      <c r="T3900">
        <f>IMAGE("https://mitra.stanford.edu/kundaje/oak/projects/neuro-variants/variant_position/credible/roussos_2024/variant_figures/roussos_2024.adolescence.Astrocyte/rs2016875_profile_position.png",4,220,900)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0.120830715</v>
      </c>
      <c r="G3901" t="n">
        <v>0.0601714679830971</v>
      </c>
      <c r="H3901" t="n">
        <v>0.0157725184628459</v>
      </c>
      <c r="I3901" t="n">
        <v>0.2801326270180186</v>
      </c>
      <c r="J3901" t="n">
        <v>0.4125589710114826</v>
      </c>
      <c r="K3901" t="n">
        <v>0.08362161301766249</v>
      </c>
      <c r="L3901" t="b">
        <v>0</v>
      </c>
      <c r="M3901" t="b">
        <v>0</v>
      </c>
      <c r="N3901" t="inlineStr">
        <is>
          <t>alt</t>
        </is>
      </c>
      <c r="O3901" t="n">
        <v>5</v>
      </c>
      <c r="P3901" t="n">
        <v>0.00148</v>
      </c>
      <c r="Q3901" t="n">
        <v>-5</v>
      </c>
      <c r="R3901" t="n">
        <v>0.0166</v>
      </c>
      <c r="S3901">
        <f>IMAGE("https://mitra.stanford.edu/kundaje/oak/projects/neuro-variants/variant_position/credible/roussos_2024/variant_figures/roussos_2024.adolescence.Astrocyte/rs28681082_count_position.png",4,220,900)</f>
        <v/>
      </c>
      <c r="T3901">
        <f>IMAGE("https://mitra.stanford.edu/kundaje/oak/projects/neuro-variants/variant_position/credible/roussos_2024/variant_figures/roussos_2024.adolescence.Astrocyte/rs28681082_profile_position.png",4,220,900)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0.191421082</v>
      </c>
      <c r="G3902" t="n">
        <v>0.0210630630060902</v>
      </c>
      <c r="H3902" t="n">
        <v>0.0281637868559992</v>
      </c>
      <c r="I3902" t="n">
        <v>0.0412386294888558</v>
      </c>
      <c r="J3902" t="n">
        <v>0.4081713794024271</v>
      </c>
      <c r="K3902" t="n">
        <v>0.0852775190918072</v>
      </c>
      <c r="L3902" t="b">
        <v>0</v>
      </c>
      <c r="M3902" t="b">
        <v>0</v>
      </c>
      <c r="N3902" t="inlineStr">
        <is>
          <t>alt</t>
        </is>
      </c>
      <c r="O3902" t="n">
        <v>100</v>
      </c>
      <c r="P3902" t="n">
        <v>0.00624</v>
      </c>
      <c r="Q3902" t="n">
        <v>-15</v>
      </c>
      <c r="R3902" t="n">
        <v>0.0376</v>
      </c>
      <c r="S3902">
        <f>IMAGE("https://mitra.stanford.edu/kundaje/oak/projects/neuro-variants/variant_position/credible/roussos_2024/variant_figures/roussos_2024.adolescence.Astrocyte/rs4647905_count_position.png",4,220,900)</f>
        <v/>
      </c>
      <c r="T3902">
        <f>IMAGE("https://mitra.stanford.edu/kundaje/oak/projects/neuro-variants/variant_position/credible/roussos_2024/variant_figures/roussos_2024.adolescence.Astrocyte/rs4647905_profile_position.png",4,220,900)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-0.01675164354</v>
      </c>
      <c r="G3903" t="n">
        <v>0.5250427414178938</v>
      </c>
      <c r="H3903" t="n">
        <v>0.0110748300849739</v>
      </c>
      <c r="I3903" t="n">
        <v>0.6327751244988689</v>
      </c>
      <c r="J3903" t="n">
        <v>0.6764486840934041</v>
      </c>
      <c r="K3903" t="n">
        <v>0.0210596534625154</v>
      </c>
      <c r="L3903" t="b">
        <v>0</v>
      </c>
      <c r="M3903" t="b">
        <v>0</v>
      </c>
      <c r="N3903" t="inlineStr">
        <is>
          <t>ref</t>
        </is>
      </c>
      <c r="O3903" t="n">
        <v>85</v>
      </c>
      <c r="P3903" t="n">
        <v>0.001686</v>
      </c>
      <c r="Q3903" t="n">
        <v>35</v>
      </c>
      <c r="R3903" t="n">
        <v>0.02905</v>
      </c>
      <c r="S3903">
        <f>IMAGE("https://mitra.stanford.edu/kundaje/oak/projects/neuro-variants/variant_position/credible/roussos_2024/variant_figures/roussos_2024.adolescence.Astrocyte/rs4647907_count_position.png",4,220,900)</f>
        <v/>
      </c>
      <c r="T3903">
        <f>IMAGE("https://mitra.stanford.edu/kundaje/oak/projects/neuro-variants/variant_position/credible/roussos_2024/variant_figures/roussos_2024.adolescence.Astrocyte/rs4647907_profile_position.png",4,220,900)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-0.0235731636599999</v>
      </c>
      <c r="G3904" t="n">
        <v>0.5091033652798221</v>
      </c>
      <c r="H3904" t="n">
        <v>0.0100708345979879</v>
      </c>
      <c r="I3904" t="n">
        <v>0.7471354174324224</v>
      </c>
      <c r="J3904" t="n">
        <v>0.4302332136605049</v>
      </c>
      <c r="K3904" t="n">
        <v>0.07756681692770701</v>
      </c>
      <c r="L3904" t="b">
        <v>0</v>
      </c>
      <c r="M3904" t="b">
        <v>0</v>
      </c>
      <c r="N3904" t="inlineStr">
        <is>
          <t>ref</t>
        </is>
      </c>
      <c r="O3904" t="n">
        <v>-60</v>
      </c>
      <c r="P3904" t="n">
        <v>0.00435</v>
      </c>
      <c r="Q3904" t="n">
        <v>60</v>
      </c>
      <c r="R3904" t="n">
        <v>0.1273</v>
      </c>
      <c r="S3904">
        <f>IMAGE("https://mitra.stanford.edu/kundaje/oak/projects/neuro-variants/variant_position/credible/roussos_2024/variant_figures/roussos_2024.adolescence.Astrocyte/rs7005874_count_position.png",4,220,900)</f>
        <v/>
      </c>
      <c r="T3904">
        <f>IMAGE("https://mitra.stanford.edu/kundaje/oak/projects/neuro-variants/variant_position/credible/roussos_2024/variant_figures/roussos_2024.adolescence.Astrocyte/rs7005874_profile_position.png",4,220,900)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-0.387938772</v>
      </c>
      <c r="G3905" t="n">
        <v>0.0029646163146266</v>
      </c>
      <c r="H3905" t="n">
        <v>0.0435242602258102</v>
      </c>
      <c r="I3905" t="n">
        <v>0.0070315841083551</v>
      </c>
      <c r="J3905" t="n">
        <v>0.20820179212533</v>
      </c>
      <c r="K3905" t="n">
        <v>0.2015593464800521</v>
      </c>
      <c r="L3905" t="b">
        <v>1</v>
      </c>
      <c r="M3905" t="b">
        <v>1</v>
      </c>
      <c r="N3905" t="inlineStr">
        <is>
          <t>ref</t>
        </is>
      </c>
      <c r="O3905" t="n">
        <v>100</v>
      </c>
      <c r="P3905" t="n">
        <v>0.009259999999999999</v>
      </c>
      <c r="Q3905" t="n">
        <v>25</v>
      </c>
      <c r="R3905" t="n">
        <v>0.08594</v>
      </c>
      <c r="S3905">
        <f>IMAGE("https://mitra.stanford.edu/kundaje/oak/projects/neuro-variants/variant_position/credible/roussos_2024/variant_figures/roussos_2024.adolescence.Astrocyte/rs62640287_count_position.png",4,220,900)</f>
        <v/>
      </c>
      <c r="T3905">
        <f>IMAGE("https://mitra.stanford.edu/kundaje/oak/projects/neuro-variants/variant_position/credible/roussos_2024/variant_figures/roussos_2024.adolescence.Astrocyte/rs62640287_profile_position.png",4,220,900)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0.0011603459839999</v>
      </c>
      <c r="G3906" t="n">
        <v>0.7254886485946682</v>
      </c>
      <c r="H3906" t="n">
        <v>0.0107075069226863</v>
      </c>
      <c r="I3906" t="n">
        <v>0.6870506557424154</v>
      </c>
      <c r="J3906" t="n">
        <v>0.1993917455419399</v>
      </c>
      <c r="K3906" t="n">
        <v>0.2053924694407463</v>
      </c>
      <c r="L3906" t="b">
        <v>0</v>
      </c>
      <c r="M3906" t="b">
        <v>0</v>
      </c>
      <c r="N3906" t="inlineStr">
        <is>
          <t>alt</t>
        </is>
      </c>
      <c r="O3906" t="n">
        <v>80</v>
      </c>
      <c r="P3906" t="n">
        <v>0.002296</v>
      </c>
      <c r="Q3906" t="n">
        <v>100</v>
      </c>
      <c r="R3906" t="n">
        <v>0.04736</v>
      </c>
      <c r="S3906">
        <f>IMAGE("https://mitra.stanford.edu/kundaje/oak/projects/neuro-variants/variant_position/credible/roussos_2024/variant_figures/roussos_2024.adolescence.Astrocyte/rs16890077_count_position.png",4,220,900)</f>
        <v/>
      </c>
      <c r="T3906">
        <f>IMAGE("https://mitra.stanford.edu/kundaje/oak/projects/neuro-variants/variant_position/credible/roussos_2024/variant_figures/roussos_2024.adolescence.Astrocyte/rs16890077_profile_position.png",4,220,900)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0.0404036833999999</v>
      </c>
      <c r="G3907" t="n">
        <v>0.3090377275883662</v>
      </c>
      <c r="H3907" t="n">
        <v>0.0254715392957142</v>
      </c>
      <c r="I3907" t="n">
        <v>0.0593004260326527</v>
      </c>
      <c r="J3907" t="n">
        <v>0.0016897605554401</v>
      </c>
      <c r="K3907" t="n">
        <v>0.8457794251129167</v>
      </c>
      <c r="L3907" t="b">
        <v>0</v>
      </c>
      <c r="M3907" t="b">
        <v>0</v>
      </c>
      <c r="N3907" t="inlineStr">
        <is>
          <t>alt</t>
        </is>
      </c>
      <c r="O3907" t="n">
        <v>-25</v>
      </c>
      <c r="P3907" t="n">
        <v>0.003418</v>
      </c>
      <c r="Q3907" t="n">
        <v>-25</v>
      </c>
      <c r="R3907" t="n">
        <v>0.05984</v>
      </c>
      <c r="S3907">
        <f>IMAGE("https://mitra.stanford.edu/kundaje/oak/projects/neuro-variants/variant_position/credible/roussos_2024/variant_figures/roussos_2024.adolescence.Astrocyte/rs4498530_count_position.png",4,220,900)</f>
        <v/>
      </c>
      <c r="T3907">
        <f>IMAGE("https://mitra.stanford.edu/kundaje/oak/projects/neuro-variants/variant_position/credible/roussos_2024/variant_figures/roussos_2024.adolescence.Astrocyte/rs4498530_profile_position.png",4,220,900)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-0.0060891487999999</v>
      </c>
      <c r="G3908" t="n">
        <v>0.7137692283807761</v>
      </c>
      <c r="H3908" t="n">
        <v>0.01015676320093</v>
      </c>
      <c r="I3908" t="n">
        <v>0.74368980525329</v>
      </c>
      <c r="J3908" t="n">
        <v>0.0008589739785775</v>
      </c>
      <c r="K3908" t="n">
        <v>0.8799948781448226</v>
      </c>
      <c r="L3908" t="b">
        <v>0</v>
      </c>
      <c r="M3908" t="b">
        <v>0</v>
      </c>
      <c r="N3908" t="inlineStr">
        <is>
          <t>ref</t>
        </is>
      </c>
      <c r="O3908" t="n">
        <v>20</v>
      </c>
      <c r="P3908" t="n">
        <v>0.0064</v>
      </c>
      <c r="Q3908" t="n">
        <v>-95</v>
      </c>
      <c r="R3908" t="n">
        <v>0.1153</v>
      </c>
      <c r="S3908">
        <f>IMAGE("https://mitra.stanford.edu/kundaje/oak/projects/neuro-variants/variant_position/credible/roussos_2024/variant_figures/roussos_2024.adolescence.Astrocyte/rs10105030_count_position.png",4,220,900)</f>
        <v/>
      </c>
      <c r="T3908">
        <f>IMAGE("https://mitra.stanford.edu/kundaje/oak/projects/neuro-variants/variant_position/credible/roussos_2024/variant_figures/roussos_2024.adolescence.Astrocyte/rs10105030_profile_position.png",4,220,900)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0.0229042892</v>
      </c>
      <c r="G3909" t="n">
        <v>0.484950798884949</v>
      </c>
      <c r="H3909" t="n">
        <v>0.0402732869141949</v>
      </c>
      <c r="I3909" t="n">
        <v>0.009615477226045201</v>
      </c>
      <c r="J3909" t="n">
        <v>0.0558659466516333</v>
      </c>
      <c r="K3909" t="n">
        <v>0.418624215241958</v>
      </c>
      <c r="L3909" t="b">
        <v>1</v>
      </c>
      <c r="M3909" t="b">
        <v>1</v>
      </c>
      <c r="N3909" t="inlineStr">
        <is>
          <t>alt</t>
        </is>
      </c>
      <c r="O3909" t="n">
        <v>-100</v>
      </c>
      <c r="P3909" t="n">
        <v>0.007934999999999999</v>
      </c>
      <c r="Q3909" t="n">
        <v>-60</v>
      </c>
      <c r="R3909" t="n">
        <v>0.06320000000000001</v>
      </c>
      <c r="S3909">
        <f>IMAGE("https://mitra.stanford.edu/kundaje/oak/projects/neuro-variants/variant_position/credible/roussos_2024/variant_figures/roussos_2024.adolescence.Astrocyte/rs4873621_count_position.png",4,220,900)</f>
        <v/>
      </c>
      <c r="T3909">
        <f>IMAGE("https://mitra.stanford.edu/kundaje/oak/projects/neuro-variants/variant_position/credible/roussos_2024/variant_figures/roussos_2024.adolescence.Astrocyte/rs4873621_profile_position.png",4,220,900)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0.0174874478185999</v>
      </c>
      <c r="G3910" t="n">
        <v>0.6146419498274909</v>
      </c>
      <c r="H3910" t="n">
        <v>0.009763777547350701</v>
      </c>
      <c r="I3910" t="n">
        <v>0.7531157797203695</v>
      </c>
      <c r="J3910" t="n">
        <v>0.0648621784410883</v>
      </c>
      <c r="K3910" t="n">
        <v>0.40079183045621</v>
      </c>
      <c r="L3910" t="b">
        <v>0</v>
      </c>
      <c r="M3910" t="b">
        <v>0</v>
      </c>
      <c r="N3910" t="inlineStr">
        <is>
          <t>alt</t>
        </is>
      </c>
      <c r="O3910" t="n">
        <v>-40</v>
      </c>
      <c r="P3910" t="n">
        <v>0.002142</v>
      </c>
      <c r="Q3910" t="n">
        <v>65</v>
      </c>
      <c r="R3910" t="n">
        <v>0.09357</v>
      </c>
      <c r="S3910">
        <f>IMAGE("https://mitra.stanford.edu/kundaje/oak/projects/neuro-variants/variant_position/credible/roussos_2024/variant_figures/roussos_2024.adolescence.Astrocyte/rs16917075_count_position.png",4,220,900)</f>
        <v/>
      </c>
      <c r="T3910">
        <f>IMAGE("https://mitra.stanford.edu/kundaje/oak/projects/neuro-variants/variant_position/credible/roussos_2024/variant_figures/roussos_2024.adolescence.Astrocyte/rs16917075_profile_position.png",4,220,900)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-0.00637940052</v>
      </c>
      <c r="G3911" t="n">
        <v>0.6942430938247892</v>
      </c>
      <c r="H3911" t="n">
        <v>0.0103140030553771</v>
      </c>
      <c r="I3911" t="n">
        <v>0.7136486061014062</v>
      </c>
      <c r="J3911" t="n">
        <v>0.0022060350710618</v>
      </c>
      <c r="K3911" t="n">
        <v>0.843618786695429</v>
      </c>
      <c r="L3911" t="b">
        <v>0</v>
      </c>
      <c r="M3911" t="b">
        <v>0</v>
      </c>
      <c r="N3911" t="inlineStr">
        <is>
          <t>ref</t>
        </is>
      </c>
      <c r="O3911" t="n">
        <v>90</v>
      </c>
      <c r="P3911" t="n">
        <v>0.00574</v>
      </c>
      <c r="Q3911" t="n">
        <v>-75</v>
      </c>
      <c r="R3911" t="n">
        <v>0.08325</v>
      </c>
      <c r="S3911">
        <f>IMAGE("https://mitra.stanford.edu/kundaje/oak/projects/neuro-variants/variant_position/credible/roussos_2024/variant_figures/roussos_2024.adolescence.Astrocyte/rs62514618_count_position.png",4,220,900)</f>
        <v/>
      </c>
      <c r="T3911">
        <f>IMAGE("https://mitra.stanford.edu/kundaje/oak/projects/neuro-variants/variant_position/credible/roussos_2024/variant_figures/roussos_2024.adolescence.Astrocyte/rs62514618_profile_position.png",4,220,900)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-0.1145373534</v>
      </c>
      <c r="G3912" t="n">
        <v>0.06912762115865551</v>
      </c>
      <c r="H3912" t="n">
        <v>0.0138533581521383</v>
      </c>
      <c r="I3912" t="n">
        <v>0.4030756089387187</v>
      </c>
      <c r="J3912" t="n">
        <v>0.0286814230187223</v>
      </c>
      <c r="K3912" t="n">
        <v>0.5187365672982585</v>
      </c>
      <c r="L3912" t="b">
        <v>0</v>
      </c>
      <c r="M3912" t="b">
        <v>0</v>
      </c>
      <c r="N3912" t="inlineStr">
        <is>
          <t>ref</t>
        </is>
      </c>
      <c r="O3912" t="n">
        <v>70</v>
      </c>
      <c r="P3912" t="n">
        <v>0.00473</v>
      </c>
      <c r="Q3912" t="n">
        <v>-15</v>
      </c>
      <c r="R3912" t="n">
        <v>0.0327</v>
      </c>
      <c r="S3912">
        <f>IMAGE("https://mitra.stanford.edu/kundaje/oak/projects/neuro-variants/variant_position/credible/roussos_2024/variant_figures/roussos_2024.adolescence.Astrocyte/rs41444144_count_position.png",4,220,900)</f>
        <v/>
      </c>
      <c r="T3912">
        <f>IMAGE("https://mitra.stanford.edu/kundaje/oak/projects/neuro-variants/variant_position/credible/roussos_2024/variant_figures/roussos_2024.adolescence.Astrocyte/rs41444144_profile_position.png",4,220,900)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0.0232987453999999</v>
      </c>
      <c r="G3913" t="n">
        <v>0.4204110173765568</v>
      </c>
      <c r="H3913" t="n">
        <v>0.0190806136723168</v>
      </c>
      <c r="I3913" t="n">
        <v>0.1582484719467257</v>
      </c>
      <c r="J3913" t="n">
        <v>4.524819748983769e-05</v>
      </c>
      <c r="K3913" t="n">
        <v>0.9947816405633794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0.01472</v>
      </c>
      <c r="Q3913" t="n">
        <v>35</v>
      </c>
      <c r="R3913" t="n">
        <v>0.0664</v>
      </c>
      <c r="S3913">
        <f>IMAGE("https://mitra.stanford.edu/kundaje/oak/projects/neuro-variants/variant_position/credible/roussos_2024/variant_figures/roussos_2024.adolescence.Astrocyte/rs858392_count_position.png",4,220,900)</f>
        <v/>
      </c>
      <c r="T3913">
        <f>IMAGE("https://mitra.stanford.edu/kundaje/oak/projects/neuro-variants/variant_position/credible/roussos_2024/variant_figures/roussos_2024.adolescence.Astrocyte/rs858392_profile_position.png",4,220,900)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0.0389559454</v>
      </c>
      <c r="G3914" t="n">
        <v>0.3285752100569011</v>
      </c>
      <c r="H3914" t="n">
        <v>0.0245724658994826</v>
      </c>
      <c r="I3914" t="n">
        <v>0.06852514557265291</v>
      </c>
      <c r="J3914" t="n">
        <v>0.0227902560602913</v>
      </c>
      <c r="K3914" t="n">
        <v>0.5579889710157225</v>
      </c>
      <c r="L3914" t="b">
        <v>0</v>
      </c>
      <c r="M3914" t="b">
        <v>0</v>
      </c>
      <c r="N3914" t="inlineStr">
        <is>
          <t>alt</t>
        </is>
      </c>
      <c r="O3914" t="n">
        <v>85</v>
      </c>
      <c r="P3914" t="n">
        <v>0.01971</v>
      </c>
      <c r="Q3914" t="n">
        <v>5</v>
      </c>
      <c r="R3914" t="n">
        <v>0.01367</v>
      </c>
      <c r="S3914">
        <f>IMAGE("https://mitra.stanford.edu/kundaje/oak/projects/neuro-variants/variant_position/credible/roussos_2024/variant_figures/roussos_2024.adolescence.Astrocyte/rs72650344_count_position.png",4,220,900)</f>
        <v/>
      </c>
      <c r="T3914">
        <f>IMAGE("https://mitra.stanford.edu/kundaje/oak/projects/neuro-variants/variant_position/credible/roussos_2024/variant_figures/roussos_2024.adolescence.Astrocyte/rs72650344_profile_position.png",4,220,900)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0.16683247</v>
      </c>
      <c r="G3915" t="n">
        <v>0.0291821041816288</v>
      </c>
      <c r="H3915" t="n">
        <v>0.0260408466281903</v>
      </c>
      <c r="I3915" t="n">
        <v>0.0572259988393598</v>
      </c>
      <c r="J3915" t="n">
        <v>0.0372592944248285</v>
      </c>
      <c r="K3915" t="n">
        <v>0.4960446010698435</v>
      </c>
      <c r="L3915" t="b">
        <v>0</v>
      </c>
      <c r="M3915" t="b">
        <v>0</v>
      </c>
      <c r="N3915" t="inlineStr">
        <is>
          <t>alt</t>
        </is>
      </c>
      <c r="O3915" t="n">
        <v>90</v>
      </c>
      <c r="P3915" t="n">
        <v>0.00944</v>
      </c>
      <c r="Q3915" t="n">
        <v>-30</v>
      </c>
      <c r="R3915" t="n">
        <v>0.1039</v>
      </c>
      <c r="S3915">
        <f>IMAGE("https://mitra.stanford.edu/kundaje/oak/projects/neuro-variants/variant_position/credible/roussos_2024/variant_figures/roussos_2024.adolescence.Astrocyte/rs6984055_count_position.png",4,220,900)</f>
        <v/>
      </c>
      <c r="T3915">
        <f>IMAGE("https://mitra.stanford.edu/kundaje/oak/projects/neuro-variants/variant_position/credible/roussos_2024/variant_figures/roussos_2024.adolescence.Astrocyte/rs6984055_profile_position.png",4,220,900)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0.0026059958999999</v>
      </c>
      <c r="G3916" t="n">
        <v>0.8265523308553469</v>
      </c>
      <c r="H3916" t="n">
        <v>0.0143849287023237</v>
      </c>
      <c r="I3916" t="n">
        <v>0.3650015207386525</v>
      </c>
      <c r="J3916" t="n">
        <v>0.06983577129632371</v>
      </c>
      <c r="K3916" t="n">
        <v>0.3879711695935624</v>
      </c>
      <c r="L3916" t="b">
        <v>0</v>
      </c>
      <c r="M3916" t="b">
        <v>0</v>
      </c>
      <c r="N3916" t="inlineStr">
        <is>
          <t>alt</t>
        </is>
      </c>
      <c r="O3916" t="n">
        <v>-90</v>
      </c>
      <c r="P3916" t="n">
        <v>0.01509</v>
      </c>
      <c r="Q3916" t="n">
        <v>-95</v>
      </c>
      <c r="R3916" t="n">
        <v>0.2112</v>
      </c>
      <c r="S3916">
        <f>IMAGE("https://mitra.stanford.edu/kundaje/oak/projects/neuro-variants/variant_position/credible/roussos_2024/variant_figures/roussos_2024.adolescence.Astrocyte/rs56956895_count_position.png",4,220,900)</f>
        <v/>
      </c>
      <c r="T3916">
        <f>IMAGE("https://mitra.stanford.edu/kundaje/oak/projects/neuro-variants/variant_position/credible/roussos_2024/variant_figures/roussos_2024.adolescence.Astrocyte/rs56956895_profile_position.png",4,220,900)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0.1056940347999999</v>
      </c>
      <c r="G3917" t="n">
        <v>0.07122247900617359</v>
      </c>
      <c r="H3917" t="n">
        <v>0.021928612257944</v>
      </c>
      <c r="I3917" t="n">
        <v>0.1023724753300484</v>
      </c>
      <c r="J3917" t="n">
        <v>0.0071366050499955</v>
      </c>
      <c r="K3917" t="n">
        <v>0.7024306865126296</v>
      </c>
      <c r="L3917" t="b">
        <v>0</v>
      </c>
      <c r="M3917" t="b">
        <v>0</v>
      </c>
      <c r="N3917" t="inlineStr">
        <is>
          <t>alt</t>
        </is>
      </c>
      <c r="O3917" t="n">
        <v>-5</v>
      </c>
      <c r="P3917" t="n">
        <v>0.0009165</v>
      </c>
      <c r="Q3917" t="n">
        <v>-75</v>
      </c>
      <c r="R3917" t="n">
        <v>0.06569999999999999</v>
      </c>
      <c r="S3917">
        <f>IMAGE("https://mitra.stanford.edu/kundaje/oak/projects/neuro-variants/variant_position/credible/roussos_2024/variant_figures/roussos_2024.adolescence.Astrocyte/rs9298512_count_position.png",4,220,900)</f>
        <v/>
      </c>
      <c r="T3917">
        <f>IMAGE("https://mitra.stanford.edu/kundaje/oak/projects/neuro-variants/variant_position/credible/roussos_2024/variant_figures/roussos_2024.adolescence.Astrocyte/rs9298512_profile_position.png",4,220,900)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0.02331604524</v>
      </c>
      <c r="G3918" t="n">
        <v>0.398409080405665</v>
      </c>
      <c r="H3918" t="n">
        <v>0.0128863125147823</v>
      </c>
      <c r="I3918" t="n">
        <v>0.4725153157126834</v>
      </c>
      <c r="J3918" t="n">
        <v>0.0309134201703111</v>
      </c>
      <c r="K3918" t="n">
        <v>0.5147769413089339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0.03122</v>
      </c>
      <c r="Q3918" t="n">
        <v>-100</v>
      </c>
      <c r="R3918" t="n">
        <v>0.3281</v>
      </c>
      <c r="S3918">
        <f>IMAGE("https://mitra.stanford.edu/kundaje/oak/projects/neuro-variants/variant_position/credible/roussos_2024/variant_figures/roussos_2024.adolescence.Astrocyte/rs1498180_count_position.png",4,220,900)</f>
        <v/>
      </c>
      <c r="T3918">
        <f>IMAGE("https://mitra.stanford.edu/kundaje/oak/projects/neuro-variants/variant_position/credible/roussos_2024/variant_figures/roussos_2024.adolescence.Astrocyte/rs1498180_profile_position.png",4,220,900)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-0.080388158</v>
      </c>
      <c r="G3919" t="n">
        <v>0.1190158547571427</v>
      </c>
      <c r="H3919" t="n">
        <v>0.0133167491951754</v>
      </c>
      <c r="I3919" t="n">
        <v>0.4344039779020129</v>
      </c>
      <c r="J3919" t="n">
        <v>0.0053340948876954</v>
      </c>
      <c r="K3919" t="n">
        <v>0.7553027016960303</v>
      </c>
      <c r="L3919" t="b">
        <v>0</v>
      </c>
      <c r="M3919" t="b">
        <v>0</v>
      </c>
      <c r="N3919" t="inlineStr">
        <is>
          <t>ref</t>
        </is>
      </c>
      <c r="O3919" t="n">
        <v>15</v>
      </c>
      <c r="P3919" t="n">
        <v>0.005775</v>
      </c>
      <c r="Q3919" t="n">
        <v>5</v>
      </c>
      <c r="R3919" t="n">
        <v>0.005066</v>
      </c>
      <c r="S3919">
        <f>IMAGE("https://mitra.stanford.edu/kundaje/oak/projects/neuro-variants/variant_position/credible/roussos_2024/variant_figures/roussos_2024.adolescence.Astrocyte/rs1498179_count_position.png",4,220,900)</f>
        <v/>
      </c>
      <c r="T3919">
        <f>IMAGE("https://mitra.stanford.edu/kundaje/oak/projects/neuro-variants/variant_position/credible/roussos_2024/variant_figures/roussos_2024.adolescence.Astrocyte/rs1498179_profile_position.png",4,220,900)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-0.0238934348</v>
      </c>
      <c r="G3920" t="n">
        <v>0.499051263451511</v>
      </c>
      <c r="H3920" t="n">
        <v>0.0149679087139899</v>
      </c>
      <c r="I3920" t="n">
        <v>0.3252401743126397</v>
      </c>
      <c r="J3920" t="n">
        <v>0.0011304631635165</v>
      </c>
      <c r="K3920" t="n">
        <v>0.8665521392076831</v>
      </c>
      <c r="L3920" t="b">
        <v>0</v>
      </c>
      <c r="M3920" t="b">
        <v>0</v>
      </c>
      <c r="N3920" t="inlineStr">
        <is>
          <t>ref</t>
        </is>
      </c>
      <c r="O3920" t="n">
        <v>-55</v>
      </c>
      <c r="P3920" t="n">
        <v>0.004116</v>
      </c>
      <c r="Q3920" t="n">
        <v>95</v>
      </c>
      <c r="R3920" t="n">
        <v>0.1605</v>
      </c>
      <c r="S3920">
        <f>IMAGE("https://mitra.stanford.edu/kundaje/oak/projects/neuro-variants/variant_position/credible/roussos_2024/variant_figures/roussos_2024.adolescence.Astrocyte/rs10108316_count_position.png",4,220,900)</f>
        <v/>
      </c>
      <c r="T3920">
        <f>IMAGE("https://mitra.stanford.edu/kundaje/oak/projects/neuro-variants/variant_position/credible/roussos_2024/variant_figures/roussos_2024.adolescence.Astrocyte/rs10108316_profile_position.png",4,220,900)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-0.0131232366</v>
      </c>
      <c r="G3921" t="n">
        <v>0.6786105722165995</v>
      </c>
      <c r="H3921" t="n">
        <v>0.0081359123831878</v>
      </c>
      <c r="I3921" t="n">
        <v>0.9203086832910672</v>
      </c>
      <c r="J3921" t="n">
        <v>7.195205174613536e-05</v>
      </c>
      <c r="K3921" t="n">
        <v>0.9856178316780578</v>
      </c>
      <c r="L3921" t="b">
        <v>0</v>
      </c>
      <c r="M3921" t="b">
        <v>0</v>
      </c>
      <c r="N3921" t="inlineStr">
        <is>
          <t>ref</t>
        </is>
      </c>
      <c r="O3921" t="n">
        <v>-55</v>
      </c>
      <c r="P3921" t="n">
        <v>0.006287</v>
      </c>
      <c r="Q3921" t="n">
        <v>80</v>
      </c>
      <c r="R3921" t="n">
        <v>0.08484</v>
      </c>
      <c r="S3921">
        <f>IMAGE("https://mitra.stanford.edu/kundaje/oak/projects/neuro-variants/variant_position/credible/roussos_2024/variant_figures/roussos_2024.adolescence.Astrocyte/rs4737804_count_position.png",4,220,900)</f>
        <v/>
      </c>
      <c r="T3921">
        <f>IMAGE("https://mitra.stanford.edu/kundaje/oak/projects/neuro-variants/variant_position/credible/roussos_2024/variant_figures/roussos_2024.adolescence.Astrocyte/rs4737804_profile_position.png",4,220,900)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0.1036377969999999</v>
      </c>
      <c r="G3922" t="n">
        <v>0.07256993182429081</v>
      </c>
      <c r="H3922" t="n">
        <v>0.0168518142609273</v>
      </c>
      <c r="I3922" t="n">
        <v>0.2329014005602039</v>
      </c>
      <c r="J3922" t="n">
        <v>0.0014308815238998</v>
      </c>
      <c r="K3922" t="n">
        <v>0.8799184721083076</v>
      </c>
      <c r="L3922" t="b">
        <v>0</v>
      </c>
      <c r="M3922" t="b">
        <v>0</v>
      </c>
      <c r="N3922" t="inlineStr">
        <is>
          <t>alt</t>
        </is>
      </c>
      <c r="O3922" t="n">
        <v>-20</v>
      </c>
      <c r="P3922" t="n">
        <v>0.002697</v>
      </c>
      <c r="Q3922" t="n">
        <v>-85</v>
      </c>
      <c r="R3922" t="n">
        <v>0.1481</v>
      </c>
      <c r="S3922">
        <f>IMAGE("https://mitra.stanford.edu/kundaje/oak/projects/neuro-variants/variant_position/credible/roussos_2024/variant_figures/roussos_2024.adolescence.Astrocyte/rs4737807_count_position.png",4,220,900)</f>
        <v/>
      </c>
      <c r="T3922">
        <f>IMAGE("https://mitra.stanford.edu/kundaje/oak/projects/neuro-variants/variant_position/credible/roussos_2024/variant_figures/roussos_2024.adolescence.Astrocyte/rs4737807_profile_position.png",4,220,900)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-0.2157347999999999</v>
      </c>
      <c r="G3923" t="n">
        <v>0.0162422624600675</v>
      </c>
      <c r="H3923" t="n">
        <v>0.0256133403151825</v>
      </c>
      <c r="I3923" t="n">
        <v>0.0583861316515579</v>
      </c>
      <c r="J3923" t="n">
        <v>0.2258011156276889</v>
      </c>
      <c r="K3923" t="n">
        <v>0.1832856762679801</v>
      </c>
      <c r="L3923" t="b">
        <v>1</v>
      </c>
      <c r="M3923" t="b">
        <v>0</v>
      </c>
      <c r="N3923" t="inlineStr">
        <is>
          <t>ref</t>
        </is>
      </c>
      <c r="O3923" t="n">
        <v>-95</v>
      </c>
      <c r="P3923" t="n">
        <v>0.001335</v>
      </c>
      <c r="Q3923" t="n">
        <v>55</v>
      </c>
      <c r="R3923" t="n">
        <v>0.08740000000000001</v>
      </c>
      <c r="S3923">
        <f>IMAGE("https://mitra.stanford.edu/kundaje/oak/projects/neuro-variants/variant_position/credible/roussos_2024/variant_figures/roussos_2024.adolescence.Astrocyte/rs34401803_count_position.png",4,220,900)</f>
        <v/>
      </c>
      <c r="T3923">
        <f>IMAGE("https://mitra.stanford.edu/kundaje/oak/projects/neuro-variants/variant_position/credible/roussos_2024/variant_figures/roussos_2024.adolescence.Astrocyte/rs34401803_profile_position.png",4,220,900)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0.0207800972</v>
      </c>
      <c r="G3924" t="n">
        <v>0.525536108280391</v>
      </c>
      <c r="H3924" t="n">
        <v>0.0101500633451896</v>
      </c>
      <c r="I3924" t="n">
        <v>0.7456522684036375</v>
      </c>
      <c r="J3924" t="n">
        <v>0.0183262617571135</v>
      </c>
      <c r="K3924" t="n">
        <v>0.5797187716477293</v>
      </c>
      <c r="L3924" t="b">
        <v>0</v>
      </c>
      <c r="M3924" t="b">
        <v>0</v>
      </c>
      <c r="N3924" t="inlineStr">
        <is>
          <t>alt</t>
        </is>
      </c>
      <c r="O3924" t="n">
        <v>20</v>
      </c>
      <c r="P3924" t="n">
        <v>0.001411</v>
      </c>
      <c r="Q3924" t="n">
        <v>100</v>
      </c>
      <c r="R3924" t="n">
        <v>0.1219</v>
      </c>
      <c r="S3924">
        <f>IMAGE("https://mitra.stanford.edu/kundaje/oak/projects/neuro-variants/variant_position/credible/roussos_2024/variant_figures/roussos_2024.adolescence.Astrocyte/rs17332014_count_position.png",4,220,900)</f>
        <v/>
      </c>
      <c r="T3924">
        <f>IMAGE("https://mitra.stanford.edu/kundaje/oak/projects/neuro-variants/variant_position/credible/roussos_2024/variant_figures/roussos_2024.adolescence.Astrocyte/rs17332014_profile_position.png",4,220,900)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-0.1688106899999999</v>
      </c>
      <c r="G3925" t="n">
        <v>0.027595041611948</v>
      </c>
      <c r="H3925" t="n">
        <v>0.0167577276921714</v>
      </c>
      <c r="I3925" t="n">
        <v>0.2362960760812986</v>
      </c>
      <c r="J3925" t="n">
        <v>0.2388763611547933</v>
      </c>
      <c r="K3925" t="n">
        <v>0.1741748949905442</v>
      </c>
      <c r="L3925" t="b">
        <v>0</v>
      </c>
      <c r="M3925" t="b">
        <v>0</v>
      </c>
      <c r="N3925" t="inlineStr">
        <is>
          <t>ref</t>
        </is>
      </c>
      <c r="O3925" t="n">
        <v>35</v>
      </c>
      <c r="P3925" t="n">
        <v>0.008484</v>
      </c>
      <c r="Q3925" t="n">
        <v>80</v>
      </c>
      <c r="R3925" t="n">
        <v>0.1348</v>
      </c>
      <c r="S3925">
        <f>IMAGE("https://mitra.stanford.edu/kundaje/oak/projects/neuro-variants/variant_position/credible/roussos_2024/variant_figures/roussos_2024.adolescence.Astrocyte/rs6983076_count_position.png",4,220,900)</f>
        <v/>
      </c>
      <c r="T3925">
        <f>IMAGE("https://mitra.stanford.edu/kundaje/oak/projects/neuro-variants/variant_position/credible/roussos_2024/variant_figures/roussos_2024.adolescence.Astrocyte/rs6983076_profile_position.png",4,220,900)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-0.0696334167999999</v>
      </c>
      <c r="G3926" t="n">
        <v>0.1509719040035407</v>
      </c>
      <c r="H3926" t="n">
        <v>0.011023776680567</v>
      </c>
      <c r="I3926" t="n">
        <v>0.6326209733703092</v>
      </c>
      <c r="J3926" t="n">
        <v>0.103745957333175</v>
      </c>
      <c r="K3926" t="n">
        <v>0.3181112583141025</v>
      </c>
      <c r="L3926" t="b">
        <v>0</v>
      </c>
      <c r="M3926" t="b">
        <v>0</v>
      </c>
      <c r="N3926" t="inlineStr">
        <is>
          <t>ref</t>
        </is>
      </c>
      <c r="O3926" t="n">
        <v>85</v>
      </c>
      <c r="P3926" t="n">
        <v>0.0234</v>
      </c>
      <c r="Q3926" t="n">
        <v>25</v>
      </c>
      <c r="R3926" t="n">
        <v>0.04553</v>
      </c>
      <c r="S3926">
        <f>IMAGE("https://mitra.stanford.edu/kundaje/oak/projects/neuro-variants/variant_position/credible/roussos_2024/variant_figures/roussos_2024.adolescence.Astrocyte/rs7835908_count_position.png",4,220,900)</f>
        <v/>
      </c>
      <c r="T3926">
        <f>IMAGE("https://mitra.stanford.edu/kundaje/oak/projects/neuro-variants/variant_position/credible/roussos_2024/variant_figures/roussos_2024.adolescence.Astrocyte/rs7835908_profile_position.png",4,220,900)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0.00494568938</v>
      </c>
      <c r="G3927" t="n">
        <v>0.7139478754581466</v>
      </c>
      <c r="H3927" t="n">
        <v>0.0102308717332888</v>
      </c>
      <c r="I3927" t="n">
        <v>0.7163677192578511</v>
      </c>
      <c r="J3927" t="n">
        <v>0.0088300744740823</v>
      </c>
      <c r="K3927" t="n">
        <v>0.683215817471049</v>
      </c>
      <c r="L3927" t="b">
        <v>0</v>
      </c>
      <c r="M3927" t="b">
        <v>0</v>
      </c>
      <c r="N3927" t="inlineStr">
        <is>
          <t>alt</t>
        </is>
      </c>
      <c r="O3927" t="n">
        <v>95</v>
      </c>
      <c r="P3927" t="n">
        <v>0.0248</v>
      </c>
      <c r="Q3927" t="n">
        <v>-80</v>
      </c>
      <c r="R3927" t="n">
        <v>0.0713</v>
      </c>
      <c r="S3927">
        <f>IMAGE("https://mitra.stanford.edu/kundaje/oak/projects/neuro-variants/variant_position/credible/roussos_2024/variant_figures/roussos_2024.adolescence.Astrocyte/rs12680715_count_position.png",4,220,900)</f>
        <v/>
      </c>
      <c r="T3927">
        <f>IMAGE("https://mitra.stanford.edu/kundaje/oak/projects/neuro-variants/variant_position/credible/roussos_2024/variant_figures/roussos_2024.adolescence.Astrocyte/rs12680715_profile_position.png",4,220,900)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0.208613136</v>
      </c>
      <c r="G3928" t="n">
        <v>0.0157643984709127</v>
      </c>
      <c r="H3928" t="n">
        <v>0.0274534224454956</v>
      </c>
      <c r="I3928" t="n">
        <v>0.0447370060708922</v>
      </c>
      <c r="J3928" t="n">
        <v>0.1412834169065068</v>
      </c>
      <c r="K3928" t="n">
        <v>0.2624371875855921</v>
      </c>
      <c r="L3928" t="b">
        <v>1</v>
      </c>
      <c r="M3928" t="b">
        <v>0</v>
      </c>
      <c r="N3928" t="inlineStr">
        <is>
          <t>alt</t>
        </is>
      </c>
      <c r="O3928" t="n">
        <v>-75</v>
      </c>
      <c r="P3928" t="n">
        <v>0.009900000000000001</v>
      </c>
      <c r="Q3928" t="n">
        <v>30</v>
      </c>
      <c r="R3928" t="n">
        <v>0.0635</v>
      </c>
      <c r="S3928">
        <f>IMAGE("https://mitra.stanford.edu/kundaje/oak/projects/neuro-variants/variant_position/credible/roussos_2024/variant_figures/roussos_2024.adolescence.Astrocyte/rs907211_count_position.png",4,220,900)</f>
        <v/>
      </c>
      <c r="T3928">
        <f>IMAGE("https://mitra.stanford.edu/kundaje/oak/projects/neuro-variants/variant_position/credible/roussos_2024/variant_figures/roussos_2024.adolescence.Astrocyte/rs907211_profile_position.png",4,220,900)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0.119624302</v>
      </c>
      <c r="G3929" t="n">
        <v>0.0196296206826693</v>
      </c>
      <c r="H3929" t="n">
        <v>0.019174870834493</v>
      </c>
      <c r="I3929" t="n">
        <v>0.1554995586259715</v>
      </c>
      <c r="J3929" t="n">
        <v>0.1383667626027356</v>
      </c>
      <c r="K3929" t="n">
        <v>0.2816213333938692</v>
      </c>
      <c r="L3929" t="b">
        <v>1</v>
      </c>
      <c r="M3929" t="b">
        <v>0</v>
      </c>
      <c r="N3929" t="inlineStr">
        <is>
          <t>alt</t>
        </is>
      </c>
      <c r="O3929" t="n">
        <v>-65</v>
      </c>
      <c r="P3929" t="n">
        <v>0.0047</v>
      </c>
      <c r="Q3929" t="n">
        <v>-100</v>
      </c>
      <c r="R3929" t="n">
        <v>0.02441</v>
      </c>
      <c r="S3929">
        <f>IMAGE("https://mitra.stanford.edu/kundaje/oak/projects/neuro-variants/variant_position/credible/roussos_2024/variant_figures/roussos_2024.adolescence.Astrocyte/rs1473594_count_position.png",4,220,900)</f>
        <v/>
      </c>
      <c r="T3929">
        <f>IMAGE("https://mitra.stanford.edu/kundaje/oak/projects/neuro-variants/variant_position/credible/roussos_2024/variant_figures/roussos_2024.adolescence.Astrocyte/rs1473594_profile_position.png",4,220,900)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0.0731596494</v>
      </c>
      <c r="G3930" t="n">
        <v>0.155844921397579</v>
      </c>
      <c r="H3930" t="n">
        <v>0.0204414751925092</v>
      </c>
      <c r="I3930" t="n">
        <v>0.1280938810140169</v>
      </c>
      <c r="J3930" t="n">
        <v>0.0496684271429842</v>
      </c>
      <c r="K3930" t="n">
        <v>0.4391811945312088</v>
      </c>
      <c r="L3930" t="b">
        <v>0</v>
      </c>
      <c r="M3930" t="b">
        <v>0</v>
      </c>
      <c r="N3930" t="inlineStr">
        <is>
          <t>alt</t>
        </is>
      </c>
      <c r="O3930" t="n">
        <v>100</v>
      </c>
      <c r="P3930" t="n">
        <v>0.04248</v>
      </c>
      <c r="Q3930" t="n">
        <v>95</v>
      </c>
      <c r="R3930" t="n">
        <v>0.144</v>
      </c>
      <c r="S3930">
        <f>IMAGE("https://mitra.stanford.edu/kundaje/oak/projects/neuro-variants/variant_position/credible/roussos_2024/variant_figures/roussos_2024.adolescence.Astrocyte/rs1034516_count_position.png",4,220,900)</f>
        <v/>
      </c>
      <c r="T3930">
        <f>IMAGE("https://mitra.stanford.edu/kundaje/oak/projects/neuro-variants/variant_position/credible/roussos_2024/variant_figures/roussos_2024.adolescence.Astrocyte/rs1034516_profile_position.png",4,220,900)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-0.0338007968</v>
      </c>
      <c r="G3931" t="n">
        <v>0.3668756556784505</v>
      </c>
      <c r="H3931" t="n">
        <v>0.0147229167362242</v>
      </c>
      <c r="I3931" t="n">
        <v>0.3454162419780018</v>
      </c>
      <c r="J3931" t="n">
        <v>0.0024641723288727</v>
      </c>
      <c r="K3931" t="n">
        <v>0.807513958566406</v>
      </c>
      <c r="L3931" t="b">
        <v>0</v>
      </c>
      <c r="M3931" t="b">
        <v>0</v>
      </c>
      <c r="N3931" t="inlineStr">
        <is>
          <t>ref</t>
        </is>
      </c>
      <c r="O3931" t="n">
        <v>-70</v>
      </c>
      <c r="P3931" t="n">
        <v>0.03503</v>
      </c>
      <c r="Q3931" t="n">
        <v>-65</v>
      </c>
      <c r="R3931" t="n">
        <v>0.122</v>
      </c>
      <c r="S3931">
        <f>IMAGE("https://mitra.stanford.edu/kundaje/oak/projects/neuro-variants/variant_position/credible/roussos_2024/variant_figures/roussos_2024.adolescence.Astrocyte/rs1034517_count_position.png",4,220,900)</f>
        <v/>
      </c>
      <c r="T3931">
        <f>IMAGE("https://mitra.stanford.edu/kundaje/oak/projects/neuro-variants/variant_position/credible/roussos_2024/variant_figures/roussos_2024.adolescence.Astrocyte/rs1034517_profile_position.png",4,220,900)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0.0422536124</v>
      </c>
      <c r="G3932" t="n">
        <v>0.2841375973560359</v>
      </c>
      <c r="H3932" t="n">
        <v>0.0128307937389399</v>
      </c>
      <c r="I3932" t="n">
        <v>0.4776720412203544</v>
      </c>
      <c r="J3932" t="n">
        <v>0.0009724653591667</v>
      </c>
      <c r="K3932" t="n">
        <v>0.8812236451022226</v>
      </c>
      <c r="L3932" t="b">
        <v>0</v>
      </c>
      <c r="M3932" t="b">
        <v>0</v>
      </c>
      <c r="N3932" t="inlineStr">
        <is>
          <t>alt</t>
        </is>
      </c>
      <c r="O3932" t="n">
        <v>15</v>
      </c>
      <c r="P3932" t="n">
        <v>0.00791</v>
      </c>
      <c r="Q3932" t="n">
        <v>65</v>
      </c>
      <c r="R3932" t="n">
        <v>0.0526</v>
      </c>
      <c r="S3932">
        <f>IMAGE("https://mitra.stanford.edu/kundaje/oak/projects/neuro-variants/variant_position/credible/roussos_2024/variant_figures/roussos_2024.adolescence.Astrocyte/rs10504300_count_position.png",4,220,900)</f>
        <v/>
      </c>
      <c r="T3932">
        <f>IMAGE("https://mitra.stanford.edu/kundaje/oak/projects/neuro-variants/variant_position/credible/roussos_2024/variant_figures/roussos_2024.adolescence.Astrocyte/rs10504300_profile_position.png",4,220,900)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-0.0346027238</v>
      </c>
      <c r="G3933" t="n">
        <v>0.3486974939702129</v>
      </c>
      <c r="H3933" t="n">
        <v>0.0128425995442669</v>
      </c>
      <c r="I3933" t="n">
        <v>0.4715139613093493</v>
      </c>
      <c r="J3933" t="n">
        <v>0.0114485357386582</v>
      </c>
      <c r="K3933" t="n">
        <v>0.6626762593678618</v>
      </c>
      <c r="L3933" t="b">
        <v>0</v>
      </c>
      <c r="M3933" t="b">
        <v>0</v>
      </c>
      <c r="N3933" t="inlineStr">
        <is>
          <t>ref</t>
        </is>
      </c>
      <c r="O3933" t="n">
        <v>100</v>
      </c>
      <c r="P3933" t="n">
        <v>0.002884</v>
      </c>
      <c r="Q3933" t="n">
        <v>90</v>
      </c>
      <c r="R3933" t="n">
        <v>0.1201</v>
      </c>
      <c r="S3933">
        <f>IMAGE("https://mitra.stanford.edu/kundaje/oak/projects/neuro-variants/variant_position/credible/roussos_2024/variant_figures/roussos_2024.adolescence.Astrocyte/rs7017555_count_position.png",4,220,900)</f>
        <v/>
      </c>
      <c r="T3933">
        <f>IMAGE("https://mitra.stanford.edu/kundaje/oak/projects/neuro-variants/variant_position/credible/roussos_2024/variant_figures/roussos_2024.adolescence.Astrocyte/rs7017555_profile_position.png",4,220,900)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-0.011196364</v>
      </c>
      <c r="G3934" t="n">
        <v>0.4989820080462944</v>
      </c>
      <c r="H3934" t="n">
        <v>0.008861785824979001</v>
      </c>
      <c r="I3934" t="n">
        <v>0.8388838282067203</v>
      </c>
      <c r="J3934" t="n">
        <v>0.0018455330386018</v>
      </c>
      <c r="K3934" t="n">
        <v>0.8371672942341782</v>
      </c>
      <c r="L3934" t="b">
        <v>0</v>
      </c>
      <c r="M3934" t="b">
        <v>0</v>
      </c>
      <c r="N3934" t="inlineStr">
        <is>
          <t>ref</t>
        </is>
      </c>
      <c r="O3934" t="n">
        <v>-100</v>
      </c>
      <c r="P3934" t="n">
        <v>0.005238</v>
      </c>
      <c r="Q3934" t="n">
        <v>-95</v>
      </c>
      <c r="R3934" t="n">
        <v>0.03772</v>
      </c>
      <c r="S3934">
        <f>IMAGE("https://mitra.stanford.edu/kundaje/oak/projects/neuro-variants/variant_position/credible/roussos_2024/variant_figures/roussos_2024.adolescence.Astrocyte/rs782022_count_position.png",4,220,900)</f>
        <v/>
      </c>
      <c r="T3934">
        <f>IMAGE("https://mitra.stanford.edu/kundaje/oak/projects/neuro-variants/variant_position/credible/roussos_2024/variant_figures/roussos_2024.adolescence.Astrocyte/rs782022_profile_position.png",4,220,900)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0.0054933298687</v>
      </c>
      <c r="G3935" t="n">
        <v>0.8432239741520363</v>
      </c>
      <c r="H3935" t="n">
        <v>0.0075914894950059</v>
      </c>
      <c r="I3935" t="n">
        <v>0.9577080800089078</v>
      </c>
      <c r="J3935" t="n">
        <v>0.0113506216063851</v>
      </c>
      <c r="K3935" t="n">
        <v>0.6687261269303864</v>
      </c>
      <c r="L3935" t="b">
        <v>0</v>
      </c>
      <c r="M3935" t="b">
        <v>0</v>
      </c>
      <c r="N3935" t="inlineStr">
        <is>
          <t>alt</t>
        </is>
      </c>
      <c r="O3935" t="n">
        <v>50</v>
      </c>
      <c r="P3935" t="n">
        <v>0.005707</v>
      </c>
      <c r="Q3935" t="n">
        <v>-95</v>
      </c>
      <c r="R3935" t="n">
        <v>0.0863</v>
      </c>
      <c r="S3935">
        <f>IMAGE("https://mitra.stanford.edu/kundaje/oak/projects/neuro-variants/variant_position/credible/roussos_2024/variant_figures/roussos_2024.adolescence.Astrocyte/rs522182_count_position.png",4,220,900)</f>
        <v/>
      </c>
      <c r="T3935">
        <f>IMAGE("https://mitra.stanford.edu/kundaje/oak/projects/neuro-variants/variant_position/credible/roussos_2024/variant_figures/roussos_2024.adolescence.Astrocyte/rs522182_profile_position.png",4,220,900)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0.0887220328</v>
      </c>
      <c r="G3936" t="n">
        <v>0.0928575536764524</v>
      </c>
      <c r="H3936" t="n">
        <v>0.0222846932475472</v>
      </c>
      <c r="I3936" t="n">
        <v>0.0965044150143031</v>
      </c>
      <c r="J3936" t="n">
        <v>0.824344272023262</v>
      </c>
      <c r="K3936" t="n">
        <v>0.0063202933419216</v>
      </c>
      <c r="L3936" t="b">
        <v>0</v>
      </c>
      <c r="M3936" t="b">
        <v>0</v>
      </c>
      <c r="N3936" t="inlineStr">
        <is>
          <t>alt</t>
        </is>
      </c>
      <c r="O3936" t="n">
        <v>-10</v>
      </c>
      <c r="P3936" t="n">
        <v>0.0011215</v>
      </c>
      <c r="Q3936" t="n">
        <v>-80</v>
      </c>
      <c r="R3936" t="n">
        <v>0.01831</v>
      </c>
      <c r="S3936">
        <f>IMAGE("https://mitra.stanford.edu/kundaje/oak/projects/neuro-variants/variant_position/credible/roussos_2024/variant_figures/roussos_2024.adolescence.Astrocyte/rs298210_count_position.png",4,220,900)</f>
        <v/>
      </c>
      <c r="T3936">
        <f>IMAGE("https://mitra.stanford.edu/kundaje/oak/projects/neuro-variants/variant_position/credible/roussos_2024/variant_figures/roussos_2024.adolescence.Astrocyte/rs298210_profile_position.png",4,220,900)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-0.0425238578</v>
      </c>
      <c r="G3937" t="n">
        <v>0.3241439695641191</v>
      </c>
      <c r="H3937" t="n">
        <v>0.0264315566764069</v>
      </c>
      <c r="I3937" t="n">
        <v>0.0510991810717742</v>
      </c>
      <c r="J3937" t="n">
        <v>0.030546242174287</v>
      </c>
      <c r="K3937" t="n">
        <v>0.5089582529122825</v>
      </c>
      <c r="L3937" t="b">
        <v>0</v>
      </c>
      <c r="M3937" t="b">
        <v>0</v>
      </c>
      <c r="N3937" t="inlineStr">
        <is>
          <t>ref</t>
        </is>
      </c>
      <c r="O3937" t="n">
        <v>-30</v>
      </c>
      <c r="P3937" t="n">
        <v>0.00763</v>
      </c>
      <c r="Q3937" t="n">
        <v>-80</v>
      </c>
      <c r="R3937" t="n">
        <v>0.1271</v>
      </c>
      <c r="S3937">
        <f>IMAGE("https://mitra.stanford.edu/kundaje/oak/projects/neuro-variants/variant_position/credible/roussos_2024/variant_figures/roussos_2024.adolescence.Astrocyte/rs298199_count_position.png",4,220,900)</f>
        <v/>
      </c>
      <c r="T3937">
        <f>IMAGE("https://mitra.stanford.edu/kundaje/oak/projects/neuro-variants/variant_position/credible/roussos_2024/variant_figures/roussos_2024.adolescence.Astrocyte/rs298199_profile_position.png",4,220,900)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0.0283711690399999</v>
      </c>
      <c r="G3938" t="n">
        <v>0.4669543701398581</v>
      </c>
      <c r="H3938" t="n">
        <v>0.01690600608092</v>
      </c>
      <c r="I3938" t="n">
        <v>0.2309365217268151</v>
      </c>
      <c r="J3938" t="n">
        <v>0.0757669940361391</v>
      </c>
      <c r="K3938" t="n">
        <v>0.3698683450331941</v>
      </c>
      <c r="L3938" t="b">
        <v>0</v>
      </c>
      <c r="M3938" t="b">
        <v>0</v>
      </c>
      <c r="N3938" t="inlineStr">
        <is>
          <t>alt</t>
        </is>
      </c>
      <c r="O3938" t="n">
        <v>-100</v>
      </c>
      <c r="P3938" t="n">
        <v>0.001953</v>
      </c>
      <c r="Q3938" t="n">
        <v>100</v>
      </c>
      <c r="R3938" t="n">
        <v>0.2434</v>
      </c>
      <c r="S3938">
        <f>IMAGE("https://mitra.stanford.edu/kundaje/oak/projects/neuro-variants/variant_position/credible/roussos_2024/variant_figures/roussos_2024.adolescence.Astrocyte/rs298200_count_position.png",4,220,900)</f>
        <v/>
      </c>
      <c r="T3938">
        <f>IMAGE("https://mitra.stanford.edu/kundaje/oak/projects/neuro-variants/variant_position/credible/roussos_2024/variant_figures/roussos_2024.adolescence.Astrocyte/rs298200_profile_position.png",4,220,900)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0.0150410382</v>
      </c>
      <c r="G3939" t="n">
        <v>0.5280134652607213</v>
      </c>
      <c r="H3939" t="n">
        <v>0.0284532046811648</v>
      </c>
      <c r="I3939" t="n">
        <v>0.0399970083765712</v>
      </c>
      <c r="J3939" t="n">
        <v>0.0023573569118475</v>
      </c>
      <c r="K3939" t="n">
        <v>0.8148500152435323</v>
      </c>
      <c r="L3939" t="b">
        <v>0</v>
      </c>
      <c r="M3939" t="b">
        <v>0</v>
      </c>
      <c r="N3939" t="inlineStr">
        <is>
          <t>alt</t>
        </is>
      </c>
      <c r="O3939" t="n">
        <v>60</v>
      </c>
      <c r="P3939" t="n">
        <v>0.01625</v>
      </c>
      <c r="Q3939" t="n">
        <v>50</v>
      </c>
      <c r="R3939" t="n">
        <v>0.07920000000000001</v>
      </c>
      <c r="S3939">
        <f>IMAGE("https://mitra.stanford.edu/kundaje/oak/projects/neuro-variants/variant_position/credible/roussos_2024/variant_figures/roussos_2024.adolescence.Astrocyte/rs298179_count_position.png",4,220,900)</f>
        <v/>
      </c>
      <c r="T3939">
        <f>IMAGE("https://mitra.stanford.edu/kundaje/oak/projects/neuro-variants/variant_position/credible/roussos_2024/variant_figures/roussos_2024.adolescence.Astrocyte/rs298179_profile_position.png",4,220,900)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-0.2136577259999999</v>
      </c>
      <c r="G3940" t="n">
        <v>0.0160023980835156</v>
      </c>
      <c r="H3940" t="n">
        <v>0.0279064437242197</v>
      </c>
      <c r="I3940" t="n">
        <v>0.0414712638274207</v>
      </c>
      <c r="J3940" t="n">
        <v>0.1707177402605109</v>
      </c>
      <c r="K3940" t="n">
        <v>0.2303560950732078</v>
      </c>
      <c r="L3940" t="b">
        <v>1</v>
      </c>
      <c r="M3940" t="b">
        <v>0</v>
      </c>
      <c r="N3940" t="inlineStr">
        <is>
          <t>ref</t>
        </is>
      </c>
      <c r="O3940" t="n">
        <v>-80</v>
      </c>
      <c r="P3940" t="n">
        <v>0.01352</v>
      </c>
      <c r="Q3940" t="n">
        <v>-35</v>
      </c>
      <c r="R3940" t="n">
        <v>0.0542</v>
      </c>
      <c r="S3940">
        <f>IMAGE("https://mitra.stanford.edu/kundaje/oak/projects/neuro-variants/variant_position/credible/roussos_2024/variant_figures/roussos_2024.adolescence.Astrocyte/rs2577907_count_position.png",4,220,900)</f>
        <v/>
      </c>
      <c r="T3940">
        <f>IMAGE("https://mitra.stanford.edu/kundaje/oak/projects/neuro-variants/variant_position/credible/roussos_2024/variant_figures/roussos_2024.adolescence.Astrocyte/rs2577907_profile_position.png",4,220,900)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0.119204343</v>
      </c>
      <c r="G3941" t="n">
        <v>0.0564749641813923</v>
      </c>
      <c r="H3941" t="n">
        <v>0.045523645739747</v>
      </c>
      <c r="I3941" t="n">
        <v>0.0077415596645719</v>
      </c>
      <c r="J3941" t="n">
        <v>0.0232776014004687</v>
      </c>
      <c r="K3941" t="n">
        <v>0.5695227162165425</v>
      </c>
      <c r="L3941" t="b">
        <v>1</v>
      </c>
      <c r="M3941" t="b">
        <v>0</v>
      </c>
      <c r="N3941" t="inlineStr">
        <is>
          <t>alt</t>
        </is>
      </c>
      <c r="O3941" t="n">
        <v>15</v>
      </c>
      <c r="P3941" t="n">
        <v>0.001167</v>
      </c>
      <c r="Q3941" t="n">
        <v>-100</v>
      </c>
      <c r="R3941" t="n">
        <v>0.0271</v>
      </c>
      <c r="S3941">
        <f>IMAGE("https://mitra.stanford.edu/kundaje/oak/projects/neuro-variants/variant_position/credible/roussos_2024/variant_figures/roussos_2024.adolescence.Astrocyte/rs59666344_count_position.png",4,220,900)</f>
        <v/>
      </c>
      <c r="T3941">
        <f>IMAGE("https://mitra.stanford.edu/kundaje/oak/projects/neuro-variants/variant_position/credible/roussos_2024/variant_figures/roussos_2024.adolescence.Astrocyte/rs59666344_profile_position.png",4,220,900)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-0.158269834</v>
      </c>
      <c r="G3942" t="n">
        <v>0.032467740255123</v>
      </c>
      <c r="H3942" t="n">
        <v>0.0146146746475089</v>
      </c>
      <c r="I3942" t="n">
        <v>0.3491416871693963</v>
      </c>
      <c r="J3942" t="n">
        <v>0.0278728896537399</v>
      </c>
      <c r="K3942" t="n">
        <v>0.5474304697471079</v>
      </c>
      <c r="L3942" t="b">
        <v>0</v>
      </c>
      <c r="M3942" t="b">
        <v>0</v>
      </c>
      <c r="N3942" t="inlineStr">
        <is>
          <t>ref</t>
        </is>
      </c>
      <c r="O3942" t="n">
        <v>95</v>
      </c>
      <c r="P3942" t="n">
        <v>0.01524</v>
      </c>
      <c r="Q3942" t="n">
        <v>45</v>
      </c>
      <c r="R3942" t="n">
        <v>0.2048</v>
      </c>
      <c r="S3942">
        <f>IMAGE("https://mitra.stanford.edu/kundaje/oak/projects/neuro-variants/variant_position/credible/roussos_2024/variant_figures/roussos_2024.adolescence.Astrocyte/rs2612609_count_position.png",4,220,900)</f>
        <v/>
      </c>
      <c r="T3942">
        <f>IMAGE("https://mitra.stanford.edu/kundaje/oak/projects/neuro-variants/variant_position/credible/roussos_2024/variant_figures/roussos_2024.adolescence.Astrocyte/rs2612609_profile_position.png",4,220,900)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0.0058622437</v>
      </c>
      <c r="G3943" t="n">
        <v>0.8301181784615579</v>
      </c>
      <c r="H3943" t="n">
        <v>0.0389270566966671</v>
      </c>
      <c r="I3943" t="n">
        <v>0.0106811090531195</v>
      </c>
      <c r="J3943" t="n">
        <v>0.2111466338308162</v>
      </c>
      <c r="K3943" t="n">
        <v>0.1950220115062454</v>
      </c>
      <c r="L3943" t="b">
        <v>1</v>
      </c>
      <c r="M3943" t="b">
        <v>0</v>
      </c>
      <c r="N3943" t="inlineStr">
        <is>
          <t>alt</t>
        </is>
      </c>
      <c r="O3943" t="n">
        <v>100</v>
      </c>
      <c r="P3943" t="n">
        <v>0.2167</v>
      </c>
      <c r="Q3943" t="n">
        <v>100</v>
      </c>
      <c r="R3943" t="n">
        <v>0.4478</v>
      </c>
      <c r="S3943">
        <f>IMAGE("https://mitra.stanford.edu/kundaje/oak/projects/neuro-variants/variant_position/credible/roussos_2024/variant_figures/roussos_2024.adolescence.Astrocyte/rs2600467_count_position.png",4,220,900)</f>
        <v/>
      </c>
      <c r="T3943">
        <f>IMAGE("https://mitra.stanford.edu/kundaje/oak/projects/neuro-variants/variant_position/credible/roussos_2024/variant_figures/roussos_2024.adolescence.Astrocyte/rs2600467_profile_position.png",4,220,900)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0.0180911183</v>
      </c>
      <c r="G3944" t="n">
        <v>0.4135536768956912</v>
      </c>
      <c r="H3944" t="n">
        <v>0.0086053402910961</v>
      </c>
      <c r="I3944" t="n">
        <v>0.8807802988475633</v>
      </c>
      <c r="J3944" t="n">
        <v>0.0322923775331572</v>
      </c>
      <c r="K3944" t="n">
        <v>0.5335402602578657</v>
      </c>
      <c r="L3944" t="b">
        <v>0</v>
      </c>
      <c r="M3944" t="b">
        <v>0</v>
      </c>
      <c r="N3944" t="inlineStr">
        <is>
          <t>alt</t>
        </is>
      </c>
      <c r="O3944" t="n">
        <v>100</v>
      </c>
      <c r="P3944" t="n">
        <v>0.009094</v>
      </c>
      <c r="Q3944" t="n">
        <v>75</v>
      </c>
      <c r="R3944" t="n">
        <v>0.03912</v>
      </c>
      <c r="S3944">
        <f>IMAGE("https://mitra.stanford.edu/kundaje/oak/projects/neuro-variants/variant_position/credible/roussos_2024/variant_figures/roussos_2024.adolescence.Astrocyte/rs2577893_count_position.png",4,220,900)</f>
        <v/>
      </c>
      <c r="T3944">
        <f>IMAGE("https://mitra.stanford.edu/kundaje/oak/projects/neuro-variants/variant_position/credible/roussos_2024/variant_figures/roussos_2024.adolescence.Astrocyte/rs2577893_profile_position.png",4,220,900)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0.171780648</v>
      </c>
      <c r="G3945" t="n">
        <v>0.0262443195381599</v>
      </c>
      <c r="H3945" t="n">
        <v>0.027585759704556</v>
      </c>
      <c r="I3945" t="n">
        <v>0.0476427441978757</v>
      </c>
      <c r="J3945" t="n">
        <v>0.0520324600183959</v>
      </c>
      <c r="K3945" t="n">
        <v>0.4414996355553618</v>
      </c>
      <c r="L3945" t="b">
        <v>0</v>
      </c>
      <c r="M3945" t="b">
        <v>0</v>
      </c>
      <c r="N3945" t="inlineStr">
        <is>
          <t>alt</t>
        </is>
      </c>
      <c r="O3945" t="n">
        <v>-65</v>
      </c>
      <c r="P3945" t="n">
        <v>0.01449</v>
      </c>
      <c r="Q3945" t="n">
        <v>100</v>
      </c>
      <c r="R3945" t="n">
        <v>0.3113</v>
      </c>
      <c r="S3945">
        <f>IMAGE("https://mitra.stanford.edu/kundaje/oak/projects/neuro-variants/variant_position/credible/roussos_2024/variant_figures/roussos_2024.adolescence.Astrocyte/rs2612589_count_position.png",4,220,900)</f>
        <v/>
      </c>
      <c r="T3945">
        <f>IMAGE("https://mitra.stanford.edu/kundaje/oak/projects/neuro-variants/variant_position/credible/roussos_2024/variant_figures/roussos_2024.adolescence.Astrocyte/rs2612589_profile_position.png",4,220,900)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-0.0133093157999999</v>
      </c>
      <c r="G3946" t="n">
        <v>0.68339877621347</v>
      </c>
      <c r="H3946" t="n">
        <v>0.0207786792251082</v>
      </c>
      <c r="I3946" t="n">
        <v>0.12133282640681</v>
      </c>
      <c r="J3946" t="n">
        <v>0.0008893867014805</v>
      </c>
      <c r="K3946" t="n">
        <v>0.8881710812148054</v>
      </c>
      <c r="L3946" t="b">
        <v>0</v>
      </c>
      <c r="M3946" t="b">
        <v>0</v>
      </c>
      <c r="N3946" t="inlineStr">
        <is>
          <t>ref</t>
        </is>
      </c>
      <c r="O3946" t="n">
        <v>-100</v>
      </c>
      <c r="P3946" t="n">
        <v>0.03238</v>
      </c>
      <c r="Q3946" t="n">
        <v>-100</v>
      </c>
      <c r="R3946" t="n">
        <v>0.1146</v>
      </c>
      <c r="S3946">
        <f>IMAGE("https://mitra.stanford.edu/kundaje/oak/projects/neuro-variants/variant_position/credible/roussos_2024/variant_figures/roussos_2024.adolescence.Astrocyte/rs10504376_count_position.png",4,220,900)</f>
        <v/>
      </c>
      <c r="T3946">
        <f>IMAGE("https://mitra.stanford.edu/kundaje/oak/projects/neuro-variants/variant_position/credible/roussos_2024/variant_figures/roussos_2024.adolescence.Astrocyte/rs10504376_profile_position.png",4,220,900)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-0.2281140039999999</v>
      </c>
      <c r="G3947" t="n">
        <v>0.0142240256108624</v>
      </c>
      <c r="H3947" t="n">
        <v>0.0384805691836015</v>
      </c>
      <c r="I3947" t="n">
        <v>0.0112282389438403</v>
      </c>
      <c r="J3947" t="n">
        <v>0.1743056997893362</v>
      </c>
      <c r="K3947" t="n">
        <v>0.2297670623583187</v>
      </c>
      <c r="L3947" t="b">
        <v>1</v>
      </c>
      <c r="M3947" t="b">
        <v>0</v>
      </c>
      <c r="N3947" t="inlineStr">
        <is>
          <t>ref</t>
        </is>
      </c>
      <c r="O3947" t="n">
        <v>-65</v>
      </c>
      <c r="P3947" t="n">
        <v>0.005096</v>
      </c>
      <c r="Q3947" t="n">
        <v>85</v>
      </c>
      <c r="R3947" t="n">
        <v>0.2808</v>
      </c>
      <c r="S3947">
        <f>IMAGE("https://mitra.stanford.edu/kundaje/oak/projects/neuro-variants/variant_position/credible/roussos_2024/variant_figures/roussos_2024.adolescence.Astrocyte/rs16931253_count_position.png",4,220,900)</f>
        <v/>
      </c>
      <c r="T3947">
        <f>IMAGE("https://mitra.stanford.edu/kundaje/oak/projects/neuro-variants/variant_position/credible/roussos_2024/variant_figures/roussos_2024.adolescence.Astrocyte/rs16931253_profile_position.png",4,220,900)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0.002775733</v>
      </c>
      <c r="G3948" t="n">
        <v>0.2498983981505961</v>
      </c>
      <c r="H3948" t="n">
        <v>0.0141555333834547</v>
      </c>
      <c r="I3948" t="n">
        <v>0.3788049904452179</v>
      </c>
      <c r="J3948" t="n">
        <v>0.0027215678129542</v>
      </c>
      <c r="K3948" t="n">
        <v>0.8159821929927528</v>
      </c>
      <c r="L3948" t="b">
        <v>0</v>
      </c>
      <c r="M3948" t="b">
        <v>0</v>
      </c>
      <c r="N3948" t="inlineStr">
        <is>
          <t>alt</t>
        </is>
      </c>
      <c r="O3948" t="n">
        <v>-100</v>
      </c>
      <c r="P3948" t="n">
        <v>0.002613</v>
      </c>
      <c r="Q3948" t="n">
        <v>-75</v>
      </c>
      <c r="R3948" t="n">
        <v>0.1343</v>
      </c>
      <c r="S3948">
        <f>IMAGE("https://mitra.stanford.edu/kundaje/oak/projects/neuro-variants/variant_position/credible/roussos_2024/variant_figures/roussos_2024.adolescence.Astrocyte/rs9643569_count_position.png",4,220,900)</f>
        <v/>
      </c>
      <c r="T3948">
        <f>IMAGE("https://mitra.stanford.edu/kundaje/oak/projects/neuro-variants/variant_position/credible/roussos_2024/variant_figures/roussos_2024.adolescence.Astrocyte/rs9643569_profile_position.png",4,220,900)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0.0221797243</v>
      </c>
      <c r="G3949" t="n">
        <v>0.5124248576823255</v>
      </c>
      <c r="H3949" t="n">
        <v>0.0342741341803999</v>
      </c>
      <c r="I3949" t="n">
        <v>0.0181773621334847</v>
      </c>
      <c r="J3949" t="n">
        <v>0.3438084146811856</v>
      </c>
      <c r="K3949" t="n">
        <v>0.1117748351649957</v>
      </c>
      <c r="L3949" t="b">
        <v>1</v>
      </c>
      <c r="M3949" t="b">
        <v>0</v>
      </c>
      <c r="N3949" t="inlineStr">
        <is>
          <t>alt</t>
        </is>
      </c>
      <c r="O3949" t="n">
        <v>60</v>
      </c>
      <c r="P3949" t="n">
        <v>0.01933</v>
      </c>
      <c r="Q3949" t="n">
        <v>-100</v>
      </c>
      <c r="R3949" t="n">
        <v>0.0919</v>
      </c>
      <c r="S3949">
        <f>IMAGE("https://mitra.stanford.edu/kundaje/oak/projects/neuro-variants/variant_position/credible/roussos_2024/variant_figures/roussos_2024.adolescence.Astrocyte/rs4737675_count_position.png",4,220,900)</f>
        <v/>
      </c>
      <c r="T3949">
        <f>IMAGE("https://mitra.stanford.edu/kundaje/oak/projects/neuro-variants/variant_position/credible/roussos_2024/variant_figures/roussos_2024.adolescence.Astrocyte/rs4737675_profile_position.png",4,220,900)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0.1257070359999999</v>
      </c>
      <c r="G3950" t="n">
        <v>0.0515036232068076</v>
      </c>
      <c r="H3950" t="n">
        <v>0.021098759248977</v>
      </c>
      <c r="I3950" t="n">
        <v>0.1182616695992232</v>
      </c>
      <c r="J3950" t="n">
        <v>0.1885336616918375</v>
      </c>
      <c r="K3950" t="n">
        <v>0.2131108123193439</v>
      </c>
      <c r="L3950" t="b">
        <v>0</v>
      </c>
      <c r="M3950" t="b">
        <v>0</v>
      </c>
      <c r="N3950" t="inlineStr">
        <is>
          <t>alt</t>
        </is>
      </c>
      <c r="O3950" t="n">
        <v>0</v>
      </c>
      <c r="P3950" t="n">
        <v>0</v>
      </c>
      <c r="Q3950" t="n">
        <v>-25</v>
      </c>
      <c r="R3950" t="n">
        <v>0.01733</v>
      </c>
      <c r="S3950">
        <f>IMAGE("https://mitra.stanford.edu/kundaje/oak/projects/neuro-variants/variant_position/credible/roussos_2024/variant_figures/roussos_2024.adolescence.Astrocyte/rs3779870_count_position.png",4,220,900)</f>
        <v/>
      </c>
      <c r="T3950">
        <f>IMAGE("https://mitra.stanford.edu/kundaje/oak/projects/neuro-variants/variant_position/credible/roussos_2024/variant_figures/roussos_2024.adolescence.Astrocyte/rs3779870_profile_position.png",4,220,900)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-0.0062974717799999</v>
      </c>
      <c r="G3951" t="n">
        <v>0.7475639962247249</v>
      </c>
      <c r="H3951" t="n">
        <v>0.0240791296371011</v>
      </c>
      <c r="I3951" t="n">
        <v>0.0731022599790816</v>
      </c>
      <c r="J3951" t="n">
        <v>0.0101274367267008</v>
      </c>
      <c r="K3951" t="n">
        <v>0.6651021513729484</v>
      </c>
      <c r="L3951" t="b">
        <v>0</v>
      </c>
      <c r="M3951" t="b">
        <v>0</v>
      </c>
      <c r="N3951" t="inlineStr">
        <is>
          <t>ref</t>
        </is>
      </c>
      <c r="O3951" t="n">
        <v>75</v>
      </c>
      <c r="P3951" t="n">
        <v>0.00249</v>
      </c>
      <c r="Q3951" t="n">
        <v>-100</v>
      </c>
      <c r="R3951" t="n">
        <v>0.1454</v>
      </c>
      <c r="S3951">
        <f>IMAGE("https://mitra.stanford.edu/kundaje/oak/projects/neuro-variants/variant_position/credible/roussos_2024/variant_figures/roussos_2024.adolescence.Astrocyte/rs4452822_count_position.png",4,220,900)</f>
        <v/>
      </c>
      <c r="T3951">
        <f>IMAGE("https://mitra.stanford.edu/kundaje/oak/projects/neuro-variants/variant_position/credible/roussos_2024/variant_figures/roussos_2024.adolescence.Astrocyte/rs4452822_profile_position.png",4,220,900)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-0.0467630906</v>
      </c>
      <c r="G3952" t="n">
        <v>0.2713116205237827</v>
      </c>
      <c r="H3952" t="n">
        <v>0.0162984795354738</v>
      </c>
      <c r="I3952" t="n">
        <v>0.2551514009990011</v>
      </c>
      <c r="J3952" t="n">
        <v>0.0002870664332551</v>
      </c>
      <c r="K3952" t="n">
        <v>0.9424252667897216</v>
      </c>
      <c r="L3952" t="b">
        <v>0</v>
      </c>
      <c r="M3952" t="b">
        <v>0</v>
      </c>
      <c r="N3952" t="inlineStr">
        <is>
          <t>ref</t>
        </is>
      </c>
      <c r="O3952" t="n">
        <v>-75</v>
      </c>
      <c r="P3952" t="n">
        <v>0.00659</v>
      </c>
      <c r="Q3952" t="n">
        <v>100</v>
      </c>
      <c r="R3952" t="n">
        <v>0.1024</v>
      </c>
      <c r="S3952">
        <f>IMAGE("https://mitra.stanford.edu/kundaje/oak/projects/neuro-variants/variant_position/credible/roussos_2024/variant_figures/roussos_2024.adolescence.Astrocyte/rs11996031_count_position.png",4,220,900)</f>
        <v/>
      </c>
      <c r="T3952">
        <f>IMAGE("https://mitra.stanford.edu/kundaje/oak/projects/neuro-variants/variant_position/credible/roussos_2024/variant_figures/roussos_2024.adolescence.Astrocyte/rs11996031_profile_position.png",4,220,900)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0.03802199284</v>
      </c>
      <c r="G3953" t="n">
        <v>0.3334299240152822</v>
      </c>
      <c r="H3953" t="n">
        <v>0.0164956535416046</v>
      </c>
      <c r="I3953" t="n">
        <v>0.2567786583060757</v>
      </c>
      <c r="J3953" t="n">
        <v>0.0291806367385692</v>
      </c>
      <c r="K3953" t="n">
        <v>0.5572527107737607</v>
      </c>
      <c r="L3953" t="b">
        <v>0</v>
      </c>
      <c r="M3953" t="b">
        <v>0</v>
      </c>
      <c r="N3953" t="inlineStr">
        <is>
          <t>alt</t>
        </is>
      </c>
      <c r="O3953" t="n">
        <v>-95</v>
      </c>
      <c r="P3953" t="n">
        <v>0.005596</v>
      </c>
      <c r="Q3953" t="n">
        <v>-70</v>
      </c>
      <c r="R3953" t="n">
        <v>0.08044</v>
      </c>
      <c r="S3953">
        <f>IMAGE("https://mitra.stanford.edu/kundaje/oak/projects/neuro-variants/variant_position/credible/roussos_2024/variant_figures/roussos_2024.adolescence.Astrocyte/rs4236934_count_position.png",4,220,900)</f>
        <v/>
      </c>
      <c r="T3953">
        <f>IMAGE("https://mitra.stanford.edu/kundaje/oak/projects/neuro-variants/variant_position/credible/roussos_2024/variant_figures/roussos_2024.adolescence.Astrocyte/rs4236934_profile_position.png",4,220,900)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-0.0169885</v>
      </c>
      <c r="G3954" t="n">
        <v>0.0480179655559094</v>
      </c>
      <c r="H3954" t="n">
        <v>0.0191962177596079</v>
      </c>
      <c r="I3954" t="n">
        <v>0.1588513092872054</v>
      </c>
      <c r="J3954" t="n">
        <v>0.3983206242767706</v>
      </c>
      <c r="K3954" t="n">
        <v>0.08674550101402741</v>
      </c>
      <c r="L3954" t="b">
        <v>0</v>
      </c>
      <c r="M3954" t="b">
        <v>0</v>
      </c>
      <c r="N3954" t="inlineStr">
        <is>
          <t>ref</t>
        </is>
      </c>
      <c r="O3954" t="n">
        <v>-100</v>
      </c>
      <c r="P3954" t="n">
        <v>0.00403</v>
      </c>
      <c r="Q3954" t="n">
        <v>-45</v>
      </c>
      <c r="R3954" t="n">
        <v>0.1719</v>
      </c>
      <c r="S3954">
        <f>IMAGE("https://mitra.stanford.edu/kundaje/oak/projects/neuro-variants/variant_position/credible/roussos_2024/variant_figures/roussos_2024.adolescence.Astrocyte/rs4486246_count_position.png",4,220,900)</f>
        <v/>
      </c>
      <c r="T3954">
        <f>IMAGE("https://mitra.stanford.edu/kundaje/oak/projects/neuro-variants/variant_position/credible/roussos_2024/variant_figures/roussos_2024.adolescence.Astrocyte/rs4486246_profile_position.png",4,220,900)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0.07334287859999999</v>
      </c>
      <c r="G3955" t="n">
        <v>0.1302765890078566</v>
      </c>
      <c r="H3955" t="n">
        <v>0.0147387583316435</v>
      </c>
      <c r="I3955" t="n">
        <v>0.3405390064365746</v>
      </c>
      <c r="J3955" t="n">
        <v>0.026051093374477</v>
      </c>
      <c r="K3955" t="n">
        <v>0.5358061079868317</v>
      </c>
      <c r="L3955" t="b">
        <v>0</v>
      </c>
      <c r="M3955" t="b">
        <v>0</v>
      </c>
      <c r="N3955" t="inlineStr">
        <is>
          <t>alt</t>
        </is>
      </c>
      <c r="O3955" t="n">
        <v>-25</v>
      </c>
      <c r="P3955" t="n">
        <v>0.00172</v>
      </c>
      <c r="Q3955" t="n">
        <v>15</v>
      </c>
      <c r="R3955" t="n">
        <v>0.0354</v>
      </c>
      <c r="S3955">
        <f>IMAGE("https://mitra.stanford.edu/kundaje/oak/projects/neuro-variants/variant_position/credible/roussos_2024/variant_figures/roussos_2024.adolescence.Astrocyte/rs6999999_count_position.png",4,220,900)</f>
        <v/>
      </c>
      <c r="T3955">
        <f>IMAGE("https://mitra.stanford.edu/kundaje/oak/projects/neuro-variants/variant_position/credible/roussos_2024/variant_figures/roussos_2024.adolescence.Astrocyte/rs6999999_profile_position.png",4,220,900)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0.0532550061999999</v>
      </c>
      <c r="G3956" t="n">
        <v>0.2184589182488706</v>
      </c>
      <c r="H3956" t="n">
        <v>0.013394090838864</v>
      </c>
      <c r="I3956" t="n">
        <v>0.4348882978558236</v>
      </c>
      <c r="J3956" t="n">
        <v>0.0463222858499242</v>
      </c>
      <c r="K3956" t="n">
        <v>0.4554207286150479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0.04498</v>
      </c>
      <c r="Q3956" t="n">
        <v>-100</v>
      </c>
      <c r="R3956" t="n">
        <v>0.3794</v>
      </c>
      <c r="S3956">
        <f>IMAGE("https://mitra.stanford.edu/kundaje/oak/projects/neuro-variants/variant_position/credible/roussos_2024/variant_figures/roussos_2024.adolescence.Astrocyte/rs7827287_count_position.png",4,220,900)</f>
        <v/>
      </c>
      <c r="T3956">
        <f>IMAGE("https://mitra.stanford.edu/kundaje/oak/projects/neuro-variants/variant_position/credible/roussos_2024/variant_figures/roussos_2024.adolescence.Astrocyte/rs7827287_profile_position.png",4,220,900)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-0.007360169886</v>
      </c>
      <c r="G3957" t="n">
        <v>0.7981520853049811</v>
      </c>
      <c r="H3957" t="n">
        <v>0.009298615970813599</v>
      </c>
      <c r="I3957" t="n">
        <v>0.8108713959928178</v>
      </c>
      <c r="J3957" t="n">
        <v>0.0273351036999673</v>
      </c>
      <c r="K3957" t="n">
        <v>0.5387037660183536</v>
      </c>
      <c r="L3957" t="b">
        <v>0</v>
      </c>
      <c r="M3957" t="b">
        <v>0</v>
      </c>
      <c r="N3957" t="inlineStr">
        <is>
          <t>ref</t>
        </is>
      </c>
      <c r="O3957" t="n">
        <v>-5</v>
      </c>
      <c r="P3957" t="n">
        <v>0.0002823</v>
      </c>
      <c r="Q3957" t="n">
        <v>-100</v>
      </c>
      <c r="R3957" t="n">
        <v>0.1316</v>
      </c>
      <c r="S3957">
        <f>IMAGE("https://mitra.stanford.edu/kundaje/oak/projects/neuro-variants/variant_position/credible/roussos_2024/variant_figures/roussos_2024.adolescence.Astrocyte/rs13252547_count_position.png",4,220,900)</f>
        <v/>
      </c>
      <c r="T3957">
        <f>IMAGE("https://mitra.stanford.edu/kundaje/oak/projects/neuro-variants/variant_position/credible/roussos_2024/variant_figures/roussos_2024.adolescence.Astrocyte/rs13252547_profile_position.png",4,220,900)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0.0231921965</v>
      </c>
      <c r="G3958" t="n">
        <v>0.4947068730393912</v>
      </c>
      <c r="H3958" t="n">
        <v>0.014141693947382</v>
      </c>
      <c r="I3958" t="n">
        <v>0.3818705339361003</v>
      </c>
      <c r="J3958" t="n">
        <v>0.0516942111978161</v>
      </c>
      <c r="K3958" t="n">
        <v>0.4354207945836945</v>
      </c>
      <c r="L3958" t="b">
        <v>0</v>
      </c>
      <c r="M3958" t="b">
        <v>0</v>
      </c>
      <c r="N3958" t="inlineStr">
        <is>
          <t>alt</t>
        </is>
      </c>
      <c r="O3958" t="n">
        <v>-100</v>
      </c>
      <c r="P3958" t="n">
        <v>0.003014</v>
      </c>
      <c r="Q3958" t="n">
        <v>45</v>
      </c>
      <c r="R3958" t="n">
        <v>0.10156</v>
      </c>
      <c r="S3958">
        <f>IMAGE("https://mitra.stanford.edu/kundaje/oak/projects/neuro-variants/variant_position/credible/roussos_2024/variant_figures/roussos_2024.adolescence.Astrocyte/rs4574807_count_position.png",4,220,900)</f>
        <v/>
      </c>
      <c r="T3958">
        <f>IMAGE("https://mitra.stanford.edu/kundaje/oak/projects/neuro-variants/variant_position/credible/roussos_2024/variant_figures/roussos_2024.adolescence.Astrocyte/rs4574807_profile_position.png",4,220,900)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0.118423007</v>
      </c>
      <c r="G3959" t="n">
        <v>0.058474382114834</v>
      </c>
      <c r="H3959" t="n">
        <v>0.0196982408080268</v>
      </c>
      <c r="I3959" t="n">
        <v>0.147544419093301</v>
      </c>
      <c r="J3959" t="n">
        <v>0.0612757024597216</v>
      </c>
      <c r="K3959" t="n">
        <v>0.4052838564824917</v>
      </c>
      <c r="L3959" t="b">
        <v>0</v>
      </c>
      <c r="M3959" t="b">
        <v>0</v>
      </c>
      <c r="N3959" t="inlineStr">
        <is>
          <t>alt</t>
        </is>
      </c>
      <c r="O3959" t="n">
        <v>-100</v>
      </c>
      <c r="P3959" t="n">
        <v>0.005466</v>
      </c>
      <c r="Q3959" t="n">
        <v>25</v>
      </c>
      <c r="R3959" t="n">
        <v>0.02759</v>
      </c>
      <c r="S3959">
        <f>IMAGE("https://mitra.stanford.edu/kundaje/oak/projects/neuro-variants/variant_position/credible/roussos_2024/variant_figures/roussos_2024.adolescence.Astrocyte/rs4265143_count_position.png",4,220,900)</f>
        <v/>
      </c>
      <c r="T3959">
        <f>IMAGE("https://mitra.stanford.edu/kundaje/oak/projects/neuro-variants/variant_position/credible/roussos_2024/variant_figures/roussos_2024.adolescence.Astrocyte/rs4265143_profile_position.png",4,220,900)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-0.0333149256</v>
      </c>
      <c r="G3960" t="n">
        <v>0.3230913159972994</v>
      </c>
      <c r="H3960" t="n">
        <v>0.0164994167428271</v>
      </c>
      <c r="I3960" t="n">
        <v>0.2463779459442684</v>
      </c>
      <c r="J3960" t="n">
        <v>0.0023588404593062</v>
      </c>
      <c r="K3960" t="n">
        <v>0.8102398047319305</v>
      </c>
      <c r="L3960" t="b">
        <v>0</v>
      </c>
      <c r="M3960" t="b">
        <v>0</v>
      </c>
      <c r="N3960" t="inlineStr">
        <is>
          <t>ref</t>
        </is>
      </c>
      <c r="O3960" t="n">
        <v>90</v>
      </c>
      <c r="P3960" t="n">
        <v>0.009575</v>
      </c>
      <c r="Q3960" t="n">
        <v>-90</v>
      </c>
      <c r="R3960" t="n">
        <v>0.05212</v>
      </c>
      <c r="S3960">
        <f>IMAGE("https://mitra.stanford.edu/kundaje/oak/projects/neuro-variants/variant_position/credible/roussos_2024/variant_figures/roussos_2024.adolescence.Astrocyte/rs11986552_count_position.png",4,220,900)</f>
        <v/>
      </c>
      <c r="T3960">
        <f>IMAGE("https://mitra.stanford.edu/kundaje/oak/projects/neuro-variants/variant_position/credible/roussos_2024/variant_figures/roussos_2024.adolescence.Astrocyte/rs11986552_profile_position.png",4,220,900)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-0.00725805902</v>
      </c>
      <c r="G3961" t="n">
        <v>0.6794438649757534</v>
      </c>
      <c r="H3961" t="n">
        <v>0.0155004656200681</v>
      </c>
      <c r="I3961" t="n">
        <v>0.2977703334720495</v>
      </c>
      <c r="J3961" t="n">
        <v>0.0153613921609352</v>
      </c>
      <c r="K3961" t="n">
        <v>0.6124000244981538</v>
      </c>
      <c r="L3961" t="b">
        <v>0</v>
      </c>
      <c r="M3961" t="b">
        <v>0</v>
      </c>
      <c r="N3961" t="inlineStr">
        <is>
          <t>ref</t>
        </is>
      </c>
      <c r="O3961" t="n">
        <v>-5</v>
      </c>
      <c r="P3961" t="n">
        <v>0.0001221</v>
      </c>
      <c r="Q3961" t="n">
        <v>-20</v>
      </c>
      <c r="R3961" t="n">
        <v>0.08716</v>
      </c>
      <c r="S3961">
        <f>IMAGE("https://mitra.stanford.edu/kundaje/oak/projects/neuro-variants/variant_position/credible/roussos_2024/variant_figures/roussos_2024.adolescence.Astrocyte/rs4534094_count_position.png",4,220,900)</f>
        <v/>
      </c>
      <c r="T3961">
        <f>IMAGE("https://mitra.stanford.edu/kundaje/oak/projects/neuro-variants/variant_position/credible/roussos_2024/variant_figures/roussos_2024.adolescence.Astrocyte/rs4534094_profile_position.png",4,220,900)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0.0278384367999999</v>
      </c>
      <c r="G3962" t="n">
        <v>0.4299842287804161</v>
      </c>
      <c r="H3962" t="n">
        <v>0.0070932651693604</v>
      </c>
      <c r="I3962" t="n">
        <v>0.9740549047232316</v>
      </c>
      <c r="J3962" t="n">
        <v>0.0029722873334717</v>
      </c>
      <c r="K3962" t="n">
        <v>0.7978536343080961</v>
      </c>
      <c r="L3962" t="b">
        <v>0</v>
      </c>
      <c r="M3962" t="b">
        <v>0</v>
      </c>
      <c r="N3962" t="inlineStr">
        <is>
          <t>alt</t>
        </is>
      </c>
      <c r="O3962" t="n">
        <v>-80</v>
      </c>
      <c r="P3962" t="n">
        <v>0.1442</v>
      </c>
      <c r="Q3962" t="n">
        <v>100</v>
      </c>
      <c r="R3962" t="n">
        <v>0.2603</v>
      </c>
      <c r="S3962">
        <f>IMAGE("https://mitra.stanford.edu/kundaje/oak/projects/neuro-variants/variant_position/credible/roussos_2024/variant_figures/roussos_2024.adolescence.Astrocyte/rs4739612_count_position.png",4,220,900)</f>
        <v/>
      </c>
      <c r="T3962">
        <f>IMAGE("https://mitra.stanford.edu/kundaje/oak/projects/neuro-variants/variant_position/credible/roussos_2024/variant_figures/roussos_2024.adolescence.Astrocyte/rs4739612_profile_position.png",4,220,900)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0.0132455455</v>
      </c>
      <c r="G3963" t="n">
        <v>0.6600714394886922</v>
      </c>
      <c r="H3963" t="n">
        <v>0.0305382719407779</v>
      </c>
      <c r="I3963" t="n">
        <v>0.0292247008500788</v>
      </c>
      <c r="J3963" t="n">
        <v>0.0071618253567931</v>
      </c>
      <c r="K3963" t="n">
        <v>0.7066219138831162</v>
      </c>
      <c r="L3963" t="b">
        <v>0</v>
      </c>
      <c r="M3963" t="b">
        <v>0</v>
      </c>
      <c r="N3963" t="inlineStr">
        <is>
          <t>alt</t>
        </is>
      </c>
      <c r="O3963" t="n">
        <v>0</v>
      </c>
      <c r="P3963" t="n">
        <v>0</v>
      </c>
      <c r="Q3963" t="n">
        <v>-100</v>
      </c>
      <c r="R3963" t="n">
        <v>0.1439</v>
      </c>
      <c r="S3963">
        <f>IMAGE("https://mitra.stanford.edu/kundaje/oak/projects/neuro-variants/variant_position/credible/roussos_2024/variant_figures/roussos_2024.adolescence.Astrocyte/rs58255283_count_position.png",4,220,900)</f>
        <v/>
      </c>
      <c r="T3963">
        <f>IMAGE("https://mitra.stanford.edu/kundaje/oak/projects/neuro-variants/variant_position/credible/roussos_2024/variant_figures/roussos_2024.adolescence.Astrocyte/rs58255283_profile_position.png",4,220,900)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-0.009092207248</v>
      </c>
      <c r="G3964" t="n">
        <v>0.6766151191565507</v>
      </c>
      <c r="H3964" t="n">
        <v>0.0229908899222439</v>
      </c>
      <c r="I3964" t="n">
        <v>0.08780525038699501</v>
      </c>
      <c r="J3964" t="n">
        <v>0.0013018128949944</v>
      </c>
      <c r="K3964" t="n">
        <v>0.8780427324672161</v>
      </c>
      <c r="L3964" t="b">
        <v>0</v>
      </c>
      <c r="M3964" t="b">
        <v>0</v>
      </c>
      <c r="N3964" t="inlineStr">
        <is>
          <t>ref</t>
        </is>
      </c>
      <c r="O3964" t="n">
        <v>90</v>
      </c>
      <c r="P3964" t="n">
        <v>0.001415</v>
      </c>
      <c r="Q3964" t="n">
        <v>-45</v>
      </c>
      <c r="R3964" t="n">
        <v>0.07117</v>
      </c>
      <c r="S3964">
        <f>IMAGE("https://mitra.stanford.edu/kundaje/oak/projects/neuro-variants/variant_position/credible/roussos_2024/variant_figures/roussos_2024.adolescence.Astrocyte/rs13262875_count_position.png",4,220,900)</f>
        <v/>
      </c>
      <c r="T3964">
        <f>IMAGE("https://mitra.stanford.edu/kundaje/oak/projects/neuro-variants/variant_position/credible/roussos_2024/variant_figures/roussos_2024.adolescence.Astrocyte/rs13262875_profile_position.png",4,220,900)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0.0837541436</v>
      </c>
      <c r="G3965" t="n">
        <v>0.112414455917049</v>
      </c>
      <c r="H3965" t="n">
        <v>0.0107971735073723</v>
      </c>
      <c r="I3965" t="n">
        <v>0.6720478218074328</v>
      </c>
      <c r="J3965" t="n">
        <v>0.0117526629676882</v>
      </c>
      <c r="K3965" t="n">
        <v>0.6544011026433874</v>
      </c>
      <c r="L3965" t="b">
        <v>0</v>
      </c>
      <c r="M3965" t="b">
        <v>0</v>
      </c>
      <c r="N3965" t="inlineStr">
        <is>
          <t>alt</t>
        </is>
      </c>
      <c r="O3965" t="n">
        <v>-100</v>
      </c>
      <c r="P3965" t="n">
        <v>0.01249</v>
      </c>
      <c r="Q3965" t="n">
        <v>75</v>
      </c>
      <c r="R3965" t="n">
        <v>0.0465</v>
      </c>
      <c r="S3965">
        <f>IMAGE("https://mitra.stanford.edu/kundaje/oak/projects/neuro-variants/variant_position/credible/roussos_2024/variant_figures/roussos_2024.adolescence.Astrocyte/rs73291155_count_position.png",4,220,900)</f>
        <v/>
      </c>
      <c r="T3965">
        <f>IMAGE("https://mitra.stanford.edu/kundaje/oak/projects/neuro-variants/variant_position/credible/roussos_2024/variant_figures/roussos_2024.adolescence.Astrocyte/rs73291155_profile_position.png",4,220,900)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0.00406225418</v>
      </c>
      <c r="G3966" t="n">
        <v>0.7953911505510877</v>
      </c>
      <c r="H3966" t="n">
        <v>0.0360031431934711</v>
      </c>
      <c r="I3966" t="n">
        <v>0.0147488951722182</v>
      </c>
      <c r="J3966" t="n">
        <v>0.0015666261163694</v>
      </c>
      <c r="K3966" t="n">
        <v>0.8625356264700741</v>
      </c>
      <c r="L3966" t="b">
        <v>0</v>
      </c>
      <c r="M3966" t="b">
        <v>0</v>
      </c>
      <c r="N3966" t="inlineStr">
        <is>
          <t>alt</t>
        </is>
      </c>
      <c r="O3966" t="n">
        <v>75</v>
      </c>
      <c r="P3966" t="n">
        <v>0.01245</v>
      </c>
      <c r="Q3966" t="n">
        <v>80</v>
      </c>
      <c r="R3966" t="n">
        <v>0.1156</v>
      </c>
      <c r="S3966">
        <f>IMAGE("https://mitra.stanford.edu/kundaje/oak/projects/neuro-variants/variant_position/credible/roussos_2024/variant_figures/roussos_2024.adolescence.Astrocyte/rs6469448_count_position.png",4,220,900)</f>
        <v/>
      </c>
      <c r="T3966">
        <f>IMAGE("https://mitra.stanford.edu/kundaje/oak/projects/neuro-variants/variant_position/credible/roussos_2024/variant_figures/roussos_2024.adolescence.Astrocyte/rs6469448_profile_position.png",4,220,900)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0.0059526345559999</v>
      </c>
      <c r="G3967" t="n">
        <v>0.7835040067038053</v>
      </c>
      <c r="H3967" t="n">
        <v>0.0245755417645601</v>
      </c>
      <c r="I3967" t="n">
        <v>0.0673415178414483</v>
      </c>
      <c r="J3967" t="n">
        <v>0.0005103403257869</v>
      </c>
      <c r="K3967" t="n">
        <v>0.9197582071160192</v>
      </c>
      <c r="L3967" t="b">
        <v>0</v>
      </c>
      <c r="M3967" t="b">
        <v>0</v>
      </c>
      <c r="N3967" t="inlineStr">
        <is>
          <t>alt</t>
        </is>
      </c>
      <c r="O3967" t="n">
        <v>-55</v>
      </c>
      <c r="P3967" t="n">
        <v>0.0072</v>
      </c>
      <c r="Q3967" t="n">
        <v>85</v>
      </c>
      <c r="R3967" t="n">
        <v>0.03598</v>
      </c>
      <c r="S3967">
        <f>IMAGE("https://mitra.stanford.edu/kundaje/oak/projects/neuro-variants/variant_position/credible/roussos_2024/variant_figures/roussos_2024.adolescence.Astrocyte/rs16884208_count_position.png",4,220,900)</f>
        <v/>
      </c>
      <c r="T3967">
        <f>IMAGE("https://mitra.stanford.edu/kundaje/oak/projects/neuro-variants/variant_position/credible/roussos_2024/variant_figures/roussos_2024.adolescence.Astrocyte/rs16884208_profile_position.png",4,220,900)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0.0547820907999999</v>
      </c>
      <c r="G3968" t="n">
        <v>0.2050096625517589</v>
      </c>
      <c r="H3968" t="n">
        <v>0.0108650574164283</v>
      </c>
      <c r="I3968" t="n">
        <v>0.6435459394367736</v>
      </c>
      <c r="J3968" t="n">
        <v>0.0002099219654036</v>
      </c>
      <c r="K3968" t="n">
        <v>0.9553470063992948</v>
      </c>
      <c r="L3968" t="b">
        <v>0</v>
      </c>
      <c r="M3968" t="b">
        <v>0</v>
      </c>
      <c r="N3968" t="inlineStr">
        <is>
          <t>alt</t>
        </is>
      </c>
      <c r="O3968" t="n">
        <v>95</v>
      </c>
      <c r="P3968" t="n">
        <v>0.00813</v>
      </c>
      <c r="Q3968" t="n">
        <v>100</v>
      </c>
      <c r="R3968" t="n">
        <v>0.05542</v>
      </c>
      <c r="S3968">
        <f>IMAGE("https://mitra.stanford.edu/kundaje/oak/projects/neuro-variants/variant_position/credible/roussos_2024/variant_figures/roussos_2024.adolescence.Astrocyte/rs7007660_count_position.png",4,220,900)</f>
        <v/>
      </c>
      <c r="T3968">
        <f>IMAGE("https://mitra.stanford.edu/kundaje/oak/projects/neuro-variants/variant_position/credible/roussos_2024/variant_figures/roussos_2024.adolescence.Astrocyte/rs7007660_profile_position.png",4,220,900)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0.053868064</v>
      </c>
      <c r="G3969" t="n">
        <v>0.2181058386165944</v>
      </c>
      <c r="H3969" t="n">
        <v>0.0103648099696552</v>
      </c>
      <c r="I3969" t="n">
        <v>0.7073957866758288</v>
      </c>
      <c r="J3969" t="n">
        <v>0.0009576298845799</v>
      </c>
      <c r="K3969" t="n">
        <v>0.9059718119326868</v>
      </c>
      <c r="L3969" t="b">
        <v>0</v>
      </c>
      <c r="M3969" t="b">
        <v>0</v>
      </c>
      <c r="N3969" t="inlineStr">
        <is>
          <t>alt</t>
        </is>
      </c>
      <c r="O3969" t="n">
        <v>60</v>
      </c>
      <c r="P3969" t="n">
        <v>0.00821</v>
      </c>
      <c r="Q3969" t="n">
        <v>25</v>
      </c>
      <c r="R3969" t="n">
        <v>0.03308</v>
      </c>
      <c r="S3969">
        <f>IMAGE("https://mitra.stanford.edu/kundaje/oak/projects/neuro-variants/variant_position/credible/roussos_2024/variant_figures/roussos_2024.adolescence.Astrocyte/rs16884246_count_position.png",4,220,900)</f>
        <v/>
      </c>
      <c r="T3969">
        <f>IMAGE("https://mitra.stanford.edu/kundaje/oak/projects/neuro-variants/variant_position/credible/roussos_2024/variant_figures/roussos_2024.adolescence.Astrocyte/rs16884246_profile_position.png",4,220,900)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-0.0560611519999999</v>
      </c>
      <c r="G3970" t="n">
        <v>0.2140669101220526</v>
      </c>
      <c r="H3970" t="n">
        <v>0.0207980429627022</v>
      </c>
      <c r="I3970" t="n">
        <v>0.1198408033720769</v>
      </c>
      <c r="J3970" t="n">
        <v>0.0066173634394563</v>
      </c>
      <c r="K3970" t="n">
        <v>0.7124686099363273</v>
      </c>
      <c r="L3970" t="b">
        <v>0</v>
      </c>
      <c r="M3970" t="b">
        <v>0</v>
      </c>
      <c r="N3970" t="inlineStr">
        <is>
          <t>ref</t>
        </is>
      </c>
      <c r="O3970" t="n">
        <v>95</v>
      </c>
      <c r="P3970" t="n">
        <v>0.04202</v>
      </c>
      <c r="Q3970" t="n">
        <v>20</v>
      </c>
      <c r="R3970" t="n">
        <v>0.0536</v>
      </c>
      <c r="S3970">
        <f>IMAGE("https://mitra.stanford.edu/kundaje/oak/projects/neuro-variants/variant_position/credible/roussos_2024/variant_figures/roussos_2024.adolescence.Astrocyte/rs34846572_count_position.png",4,220,900)</f>
        <v/>
      </c>
      <c r="T3970">
        <f>IMAGE("https://mitra.stanford.edu/kundaje/oak/projects/neuro-variants/variant_position/credible/roussos_2024/variant_figures/roussos_2024.adolescence.Astrocyte/rs34846572_profile_position.png",4,220,900)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-0.0551867652</v>
      </c>
      <c r="G3971" t="n">
        <v>0.2809300819626571</v>
      </c>
      <c r="H3971" t="n">
        <v>0.0167687339635501</v>
      </c>
      <c r="I3971" t="n">
        <v>0.2512399365079023</v>
      </c>
      <c r="J3971" t="n">
        <v>0.008727709699433201</v>
      </c>
      <c r="K3971" t="n">
        <v>0.6746348149228564</v>
      </c>
      <c r="L3971" t="b">
        <v>0</v>
      </c>
      <c r="M3971" t="b">
        <v>0</v>
      </c>
      <c r="N3971" t="inlineStr">
        <is>
          <t>ref</t>
        </is>
      </c>
      <c r="O3971" t="n">
        <v>-100</v>
      </c>
      <c r="P3971" t="n">
        <v>0.002533</v>
      </c>
      <c r="Q3971" t="n">
        <v>30</v>
      </c>
      <c r="R3971" t="n">
        <v>0.05896</v>
      </c>
      <c r="S3971">
        <f>IMAGE("https://mitra.stanford.edu/kundaje/oak/projects/neuro-variants/variant_position/credible/roussos_2024/variant_figures/roussos_2024.adolescence.Astrocyte/rs10504857_count_position.png",4,220,900)</f>
        <v/>
      </c>
      <c r="T3971">
        <f>IMAGE("https://mitra.stanford.edu/kundaje/oak/projects/neuro-variants/variant_position/credible/roussos_2024/variant_figures/roussos_2024.adolescence.Astrocyte/rs10504857_profile_position.png",4,220,900)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-0.0161260887999999</v>
      </c>
      <c r="G3972" t="n">
        <v>0.3844352940957741</v>
      </c>
      <c r="H3972" t="n">
        <v>0.0157885939307361</v>
      </c>
      <c r="I3972" t="n">
        <v>0.284004824620495</v>
      </c>
      <c r="J3972" t="n">
        <v>0.0446206569148146</v>
      </c>
      <c r="K3972" t="n">
        <v>0.4607303995756431</v>
      </c>
      <c r="L3972" t="b">
        <v>0</v>
      </c>
      <c r="M3972" t="b">
        <v>0</v>
      </c>
      <c r="N3972" t="inlineStr">
        <is>
          <t>ref</t>
        </is>
      </c>
      <c r="O3972" t="n">
        <v>-85</v>
      </c>
      <c r="P3972" t="n">
        <v>0.01129</v>
      </c>
      <c r="Q3972" t="n">
        <v>-90</v>
      </c>
      <c r="R3972" t="n">
        <v>0.1128</v>
      </c>
      <c r="S3972">
        <f>IMAGE("https://mitra.stanford.edu/kundaje/oak/projects/neuro-variants/variant_position/credible/roussos_2024/variant_figures/roussos_2024.adolescence.Astrocyte/rs7838490_count_position.png",4,220,900)</f>
        <v/>
      </c>
      <c r="T3972">
        <f>IMAGE("https://mitra.stanford.edu/kundaje/oak/projects/neuro-variants/variant_position/credible/roussos_2024/variant_figures/roussos_2024.adolescence.Astrocyte/rs7838490_profile_position.png",4,220,900)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0.01063928744</v>
      </c>
      <c r="G3973" t="n">
        <v>0.7164843919189977</v>
      </c>
      <c r="H3973" t="n">
        <v>0.022206917058408</v>
      </c>
      <c r="I3973" t="n">
        <v>0.0973998286774562</v>
      </c>
      <c r="J3973" t="n">
        <v>0.0011074681779069</v>
      </c>
      <c r="K3973" t="n">
        <v>0.8835525908920376</v>
      </c>
      <c r="L3973" t="b">
        <v>0</v>
      </c>
      <c r="M3973" t="b">
        <v>0</v>
      </c>
      <c r="N3973" t="inlineStr">
        <is>
          <t>alt</t>
        </is>
      </c>
      <c r="O3973" t="n">
        <v>-25</v>
      </c>
      <c r="P3973" t="n">
        <v>0.00119</v>
      </c>
      <c r="Q3973" t="n">
        <v>-100</v>
      </c>
      <c r="R3973" t="n">
        <v>0.1096</v>
      </c>
      <c r="S3973">
        <f>IMAGE("https://mitra.stanford.edu/kundaje/oak/projects/neuro-variants/variant_position/credible/roussos_2024/variant_figures/roussos_2024.adolescence.Astrocyte/rs71526952_count_position.png",4,220,900)</f>
        <v/>
      </c>
      <c r="T3973">
        <f>IMAGE("https://mitra.stanford.edu/kundaje/oak/projects/neuro-variants/variant_position/credible/roussos_2024/variant_figures/roussos_2024.adolescence.Astrocyte/rs71526952_profile_position.png",4,220,900)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-0.03232414248</v>
      </c>
      <c r="G3974" t="n">
        <v>0.4080467952546869</v>
      </c>
      <c r="H3974" t="n">
        <v>0.0124708383348397</v>
      </c>
      <c r="I3974" t="n">
        <v>0.5115428895210594</v>
      </c>
      <c r="J3974" t="n">
        <v>0.07894401091890919</v>
      </c>
      <c r="K3974" t="n">
        <v>0.3740066293219572</v>
      </c>
      <c r="L3974" t="b">
        <v>0</v>
      </c>
      <c r="M3974" t="b">
        <v>0</v>
      </c>
      <c r="N3974" t="inlineStr">
        <is>
          <t>ref</t>
        </is>
      </c>
      <c r="O3974" t="n">
        <v>-30</v>
      </c>
      <c r="P3974" t="n">
        <v>0.001465</v>
      </c>
      <c r="Q3974" t="n">
        <v>100</v>
      </c>
      <c r="R3974" t="n">
        <v>0.1145</v>
      </c>
      <c r="S3974">
        <f>IMAGE("https://mitra.stanford.edu/kundaje/oak/projects/neuro-variants/variant_position/credible/roussos_2024/variant_figures/roussos_2024.adolescence.Astrocyte/rs3191333_count_position.png",4,220,900)</f>
        <v/>
      </c>
      <c r="T3974">
        <f>IMAGE("https://mitra.stanford.edu/kundaje/oak/projects/neuro-variants/variant_position/credible/roussos_2024/variant_figures/roussos_2024.adolescence.Astrocyte/rs3191333_profile_position.png",4,220,900)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0.06569332980000001</v>
      </c>
      <c r="G3975" t="n">
        <v>0.1950035245244428</v>
      </c>
      <c r="H3975" t="n">
        <v>0.0174090821719376</v>
      </c>
      <c r="I3975" t="n">
        <v>0.212857437625526</v>
      </c>
      <c r="J3975" t="n">
        <v>0.5322033646856363</v>
      </c>
      <c r="K3975" t="n">
        <v>0.0473451921890618</v>
      </c>
      <c r="L3975" t="b">
        <v>0</v>
      </c>
      <c r="M3975" t="b">
        <v>0</v>
      </c>
      <c r="N3975" t="inlineStr">
        <is>
          <t>alt</t>
        </is>
      </c>
      <c r="O3975" t="n">
        <v>-80</v>
      </c>
      <c r="P3975" t="n">
        <v>0.00656</v>
      </c>
      <c r="Q3975" t="n">
        <v>0</v>
      </c>
      <c r="R3975" t="n">
        <v>0</v>
      </c>
      <c r="S3975">
        <f>IMAGE("https://mitra.stanford.edu/kundaje/oak/projects/neuro-variants/variant_position/credible/roussos_2024/variant_figures/roussos_2024.adolescence.Astrocyte/rs4734654_count_position.png",4,220,900)</f>
        <v/>
      </c>
      <c r="T3975">
        <f>IMAGE("https://mitra.stanford.edu/kundaje/oak/projects/neuro-variants/variant_position/credible/roussos_2024/variant_figures/roussos_2024.adolescence.Astrocyte/rs4734654_profile_position.png",4,220,900)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-0.0660217682</v>
      </c>
      <c r="G3976" t="n">
        <v>0.1578881922266704</v>
      </c>
      <c r="H3976" t="n">
        <v>0.013076261079951</v>
      </c>
      <c r="I3976" t="n">
        <v>0.4610778321494709</v>
      </c>
      <c r="J3976" t="n">
        <v>0.0372778387680621</v>
      </c>
      <c r="K3976" t="n">
        <v>0.4916624477839024</v>
      </c>
      <c r="L3976" t="b">
        <v>0</v>
      </c>
      <c r="M3976" t="b">
        <v>0</v>
      </c>
      <c r="N3976" t="inlineStr">
        <is>
          <t>ref</t>
        </is>
      </c>
      <c r="O3976" t="n">
        <v>10</v>
      </c>
      <c r="P3976" t="n">
        <v>0.001526</v>
      </c>
      <c r="Q3976" t="n">
        <v>-10</v>
      </c>
      <c r="R3976" t="n">
        <v>0.01709</v>
      </c>
      <c r="S3976">
        <f>IMAGE("https://mitra.stanford.edu/kundaje/oak/projects/neuro-variants/variant_position/credible/roussos_2024/variant_figures/roussos_2024.adolescence.Astrocyte/rs1434281_count_position.png",4,220,900)</f>
        <v/>
      </c>
      <c r="T3976">
        <f>IMAGE("https://mitra.stanford.edu/kundaje/oak/projects/neuro-variants/variant_position/credible/roussos_2024/variant_figures/roussos_2024.adolescence.Astrocyte/rs1434281_profile_position.png",4,220,900)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-0.00613229974</v>
      </c>
      <c r="G3977" t="n">
        <v>0.6989698382150277</v>
      </c>
      <c r="H3977" t="n">
        <v>0.0388616005542118</v>
      </c>
      <c r="I3977" t="n">
        <v>0.0108190575010861</v>
      </c>
      <c r="J3977" t="n">
        <v>0.001053318695665</v>
      </c>
      <c r="K3977" t="n">
        <v>0.8662867235231095</v>
      </c>
      <c r="L3977" t="b">
        <v>0</v>
      </c>
      <c r="M3977" t="b">
        <v>0</v>
      </c>
      <c r="N3977" t="inlineStr">
        <is>
          <t>ref</t>
        </is>
      </c>
      <c r="O3977" t="n">
        <v>-35</v>
      </c>
      <c r="P3977" t="n">
        <v>0.001587</v>
      </c>
      <c r="Q3977" t="n">
        <v>-95</v>
      </c>
      <c r="R3977" t="n">
        <v>0.1074</v>
      </c>
      <c r="S3977">
        <f>IMAGE("https://mitra.stanford.edu/kundaje/oak/projects/neuro-variants/variant_position/credible/roussos_2024/variant_figures/roussos_2024.adolescence.Astrocyte/rs2436936_count_position.png",4,220,900)</f>
        <v/>
      </c>
      <c r="T3977">
        <f>IMAGE("https://mitra.stanford.edu/kundaje/oak/projects/neuro-variants/variant_position/credible/roussos_2024/variant_figures/roussos_2024.adolescence.Astrocyte/rs2436936_profile_position.png",4,220,900)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-0.00349946132</v>
      </c>
      <c r="G3978" t="n">
        <v>0.6246842629772987</v>
      </c>
      <c r="H3978" t="n">
        <v>0.0216203686740235</v>
      </c>
      <c r="I3978" t="n">
        <v>0.1045507704408499</v>
      </c>
      <c r="J3978" t="n">
        <v>0.0094197845889089</v>
      </c>
      <c r="K3978" t="n">
        <v>0.6772348457238407</v>
      </c>
      <c r="L3978" t="b">
        <v>0</v>
      </c>
      <c r="M3978" t="b">
        <v>0</v>
      </c>
      <c r="N3978" t="inlineStr">
        <is>
          <t>ref</t>
        </is>
      </c>
      <c r="O3978" t="n">
        <v>-85</v>
      </c>
      <c r="P3978" t="n">
        <v>0.01773</v>
      </c>
      <c r="Q3978" t="n">
        <v>100</v>
      </c>
      <c r="R3978" t="n">
        <v>0.06444999999999999</v>
      </c>
      <c r="S3978">
        <f>IMAGE("https://mitra.stanford.edu/kundaje/oak/projects/neuro-variants/variant_position/credible/roussos_2024/variant_figures/roussos_2024.adolescence.Astrocyte/rs7841632_count_position.png",4,220,900)</f>
        <v/>
      </c>
      <c r="T3978">
        <f>IMAGE("https://mitra.stanford.edu/kundaje/oak/projects/neuro-variants/variant_position/credible/roussos_2024/variant_figures/roussos_2024.adolescence.Astrocyte/rs7841632_profile_position.png",4,220,900)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-0.07826849799999989</v>
      </c>
      <c r="G3979" t="n">
        <v>0.129321055417705</v>
      </c>
      <c r="H3979" t="n">
        <v>0.0163920867901392</v>
      </c>
      <c r="I3979" t="n">
        <v>0.2545140175398088</v>
      </c>
      <c r="J3979" t="n">
        <v>0.0369351393051063</v>
      </c>
      <c r="K3979" t="n">
        <v>0.490553444440039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-35</v>
      </c>
      <c r="R3979" t="n">
        <v>0.0603</v>
      </c>
      <c r="S3979">
        <f>IMAGE("https://mitra.stanford.edu/kundaje/oak/projects/neuro-variants/variant_position/credible/roussos_2024/variant_figures/roussos_2024.adolescence.Astrocyte/rs36043959_count_position.png",4,220,900)</f>
        <v/>
      </c>
      <c r="T3979">
        <f>IMAGE("https://mitra.stanford.edu/kundaje/oak/projects/neuro-variants/variant_position/credible/roussos_2024/variant_figures/roussos_2024.adolescence.Astrocyte/rs36043959_profile_position.png",4,220,900)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-0.00684040888</v>
      </c>
      <c r="G3980" t="n">
        <v>0.6089812050354677</v>
      </c>
      <c r="H3980" t="n">
        <v>0.034498265819497</v>
      </c>
      <c r="I3980" t="n">
        <v>0.0176439684976545</v>
      </c>
      <c r="J3980" t="n">
        <v>0.0008463638251787</v>
      </c>
      <c r="K3980" t="n">
        <v>0.8900688856252961</v>
      </c>
      <c r="L3980" t="b">
        <v>0</v>
      </c>
      <c r="M3980" t="b">
        <v>0</v>
      </c>
      <c r="N3980" t="inlineStr">
        <is>
          <t>ref</t>
        </is>
      </c>
      <c r="O3980" t="n">
        <v>-100</v>
      </c>
      <c r="P3980" t="n">
        <v>0.00757</v>
      </c>
      <c r="Q3980" t="n">
        <v>-75</v>
      </c>
      <c r="R3980" t="n">
        <v>0.03906</v>
      </c>
      <c r="S3980">
        <f>IMAGE("https://mitra.stanford.edu/kundaje/oak/projects/neuro-variants/variant_position/credible/roussos_2024/variant_figures/roussos_2024.adolescence.Astrocyte/rs13267290_count_position.png",4,220,900)</f>
        <v/>
      </c>
      <c r="T3980">
        <f>IMAGE("https://mitra.stanford.edu/kundaje/oak/projects/neuro-variants/variant_position/credible/roussos_2024/variant_figures/roussos_2024.adolescence.Astrocyte/rs13267290_profile_position.png",4,220,900)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0.0514444546</v>
      </c>
      <c r="G3981" t="n">
        <v>0.250858555092505</v>
      </c>
      <c r="H3981" t="n">
        <v>0.013337187831026</v>
      </c>
      <c r="I3981" t="n">
        <v>0.4385949492065863</v>
      </c>
      <c r="J3981" t="n">
        <v>0.0006000949470372</v>
      </c>
      <c r="K3981" t="n">
        <v>0.921177490069379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0.02213</v>
      </c>
      <c r="Q3981" t="n">
        <v>-80</v>
      </c>
      <c r="R3981" t="n">
        <v>0.08234</v>
      </c>
      <c r="S3981">
        <f>IMAGE("https://mitra.stanford.edu/kundaje/oak/projects/neuro-variants/variant_position/credible/roussos_2024/variant_figures/roussos_2024.adolescence.Astrocyte/rs6995307_count_position.png",4,220,900)</f>
        <v/>
      </c>
      <c r="T3981">
        <f>IMAGE("https://mitra.stanford.edu/kundaje/oak/projects/neuro-variants/variant_position/credible/roussos_2024/variant_figures/roussos_2024.adolescence.Astrocyte/rs6995307_profile_position.png",4,220,900)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-0.0269399114</v>
      </c>
      <c r="G3982" t="n">
        <v>0.4528121124262803</v>
      </c>
      <c r="H3982" t="n">
        <v>0.043740056430119</v>
      </c>
      <c r="I3982" t="n">
        <v>0.0067684449001315</v>
      </c>
      <c r="J3982" t="n">
        <v>0.0006846571521822</v>
      </c>
      <c r="K3982" t="n">
        <v>0.9010214061136546</v>
      </c>
      <c r="L3982" t="b">
        <v>0</v>
      </c>
      <c r="M3982" t="b">
        <v>0</v>
      </c>
      <c r="N3982" t="inlineStr">
        <is>
          <t>ref</t>
        </is>
      </c>
      <c r="O3982" t="n">
        <v>100</v>
      </c>
      <c r="P3982" t="n">
        <v>0.001862</v>
      </c>
      <c r="Q3982" t="n">
        <v>100</v>
      </c>
      <c r="R3982" t="n">
        <v>0.04276</v>
      </c>
      <c r="S3982">
        <f>IMAGE("https://mitra.stanford.edu/kundaje/oak/projects/neuro-variants/variant_position/credible/roussos_2024/variant_figures/roussos_2024.adolescence.Astrocyte/rs111534212_count_position.png",4,220,900)</f>
        <v/>
      </c>
      <c r="T3982">
        <f>IMAGE("https://mitra.stanford.edu/kundaje/oak/projects/neuro-variants/variant_position/credible/roussos_2024/variant_figures/roussos_2024.adolescence.Astrocyte/rs111534212_profile_position.png",4,220,900)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-0.1006156512</v>
      </c>
      <c r="G3983" t="n">
        <v>0.08830795135945101</v>
      </c>
      <c r="H3983" t="n">
        <v>0.0295120173360514</v>
      </c>
      <c r="I3983" t="n">
        <v>0.0335517047355063</v>
      </c>
      <c r="J3983" t="n">
        <v>0.0093003590184849</v>
      </c>
      <c r="K3983" t="n">
        <v>0.6772937493236534</v>
      </c>
      <c r="L3983" t="b">
        <v>0</v>
      </c>
      <c r="M3983" t="b">
        <v>0</v>
      </c>
      <c r="N3983" t="inlineStr">
        <is>
          <t>ref</t>
        </is>
      </c>
      <c r="O3983" t="n">
        <v>-30</v>
      </c>
      <c r="P3983" t="n">
        <v>0.004883</v>
      </c>
      <c r="Q3983" t="n">
        <v>-60</v>
      </c>
      <c r="R3983" t="n">
        <v>0.10583</v>
      </c>
      <c r="S3983">
        <f>IMAGE("https://mitra.stanford.edu/kundaje/oak/projects/neuro-variants/variant_position/credible/roussos_2024/variant_figures/roussos_2024.adolescence.Astrocyte/rs13280766_count_position.png",4,220,900)</f>
        <v/>
      </c>
      <c r="T3983">
        <f>IMAGE("https://mitra.stanford.edu/kundaje/oak/projects/neuro-variants/variant_position/credible/roussos_2024/variant_figures/roussos_2024.adolescence.Astrocyte/rs13280766_profile_position.png",4,220,900)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0.0289909166</v>
      </c>
      <c r="G3984" t="n">
        <v>0.4272819370410389</v>
      </c>
      <c r="H3984" t="n">
        <v>0.0333702905551661</v>
      </c>
      <c r="I3984" t="n">
        <v>0.020827952273411</v>
      </c>
      <c r="J3984" t="n">
        <v>0.0109678663620448</v>
      </c>
      <c r="K3984" t="n">
        <v>0.6498589303601228</v>
      </c>
      <c r="L3984" t="b">
        <v>0</v>
      </c>
      <c r="M3984" t="b">
        <v>0</v>
      </c>
      <c r="N3984" t="inlineStr">
        <is>
          <t>alt</t>
        </is>
      </c>
      <c r="O3984" t="n">
        <v>-45</v>
      </c>
      <c r="P3984" t="n">
        <v>0.08409999999999999</v>
      </c>
      <c r="Q3984" t="n">
        <v>95</v>
      </c>
      <c r="R3984" t="n">
        <v>0.1444</v>
      </c>
      <c r="S3984">
        <f>IMAGE("https://mitra.stanford.edu/kundaje/oak/projects/neuro-variants/variant_position/credible/roussos_2024/variant_figures/roussos_2024.adolescence.Astrocyte/rs6990323_count_position.png",4,220,900)</f>
        <v/>
      </c>
      <c r="T3984">
        <f>IMAGE("https://mitra.stanford.edu/kundaje/oak/projects/neuro-variants/variant_position/credible/roussos_2024/variant_figures/roussos_2024.adolescence.Astrocyte/rs6990323_profile_position.png",4,220,900)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0.1210239502</v>
      </c>
      <c r="G3985" t="n">
        <v>0.0654953711117177</v>
      </c>
      <c r="H3985" t="n">
        <v>0.0294612444869877</v>
      </c>
      <c r="I3985" t="n">
        <v>0.035459106754235</v>
      </c>
      <c r="J3985" t="n">
        <v>0.008364982345785201</v>
      </c>
      <c r="K3985" t="n">
        <v>0.6921709414494901</v>
      </c>
      <c r="L3985" t="b">
        <v>0</v>
      </c>
      <c r="M3985" t="b">
        <v>0</v>
      </c>
      <c r="N3985" t="inlineStr">
        <is>
          <t>alt</t>
        </is>
      </c>
      <c r="O3985" t="n">
        <v>100</v>
      </c>
      <c r="P3985" t="n">
        <v>0.005775</v>
      </c>
      <c r="Q3985" t="n">
        <v>75</v>
      </c>
      <c r="R3985" t="n">
        <v>0.1843</v>
      </c>
      <c r="S3985">
        <f>IMAGE("https://mitra.stanford.edu/kundaje/oak/projects/neuro-variants/variant_position/credible/roussos_2024/variant_figures/roussos_2024.adolescence.Astrocyte/rs16880919_count_position.png",4,220,900)</f>
        <v/>
      </c>
      <c r="T3985">
        <f>IMAGE("https://mitra.stanford.edu/kundaje/oak/projects/neuro-variants/variant_position/credible/roussos_2024/variant_figures/roussos_2024.adolescence.Astrocyte/rs16880919_profile_position.png",4,220,900)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-0.1069465342</v>
      </c>
      <c r="G3986" t="n">
        <v>0.1064664820430758</v>
      </c>
      <c r="H3986" t="n">
        <v>0.0194121829264016</v>
      </c>
      <c r="I3986" t="n">
        <v>0.1665120914886544</v>
      </c>
      <c r="J3986" t="n">
        <v>0.0046323769397382</v>
      </c>
      <c r="K3986" t="n">
        <v>0.7627323868194757</v>
      </c>
      <c r="L3986" t="b">
        <v>0</v>
      </c>
      <c r="M3986" t="b">
        <v>0</v>
      </c>
      <c r="N3986" t="inlineStr">
        <is>
          <t>ref</t>
        </is>
      </c>
      <c r="O3986" t="n">
        <v>80</v>
      </c>
      <c r="P3986" t="n">
        <v>0.003662</v>
      </c>
      <c r="Q3986" t="n">
        <v>-100</v>
      </c>
      <c r="R3986" t="n">
        <v>0.009520000000000001</v>
      </c>
      <c r="S3986">
        <f>IMAGE("https://mitra.stanford.edu/kundaje/oak/projects/neuro-variants/variant_position/credible/roussos_2024/variant_figures/roussos_2024.adolescence.Astrocyte/rs7007361_count_position.png",4,220,900)</f>
        <v/>
      </c>
      <c r="T3986">
        <f>IMAGE("https://mitra.stanford.edu/kundaje/oak/projects/neuro-variants/variant_position/credible/roussos_2024/variant_figures/roussos_2024.adolescence.Astrocyte/rs7007361_profile_position.png",4,220,900)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-0.06946351100000001</v>
      </c>
      <c r="G3987" t="n">
        <v>0.1606705847948384</v>
      </c>
      <c r="H3987" t="n">
        <v>0.0120002745112168</v>
      </c>
      <c r="I3987" t="n">
        <v>0.547246235825673</v>
      </c>
      <c r="J3987" t="n">
        <v>0.000573391092781</v>
      </c>
      <c r="K3987" t="n">
        <v>0.915855530089848</v>
      </c>
      <c r="L3987" t="b">
        <v>0</v>
      </c>
      <c r="M3987" t="b">
        <v>0</v>
      </c>
      <c r="N3987" t="inlineStr">
        <is>
          <t>ref</t>
        </is>
      </c>
      <c r="O3987" t="n">
        <v>20</v>
      </c>
      <c r="P3987" t="n">
        <v>0.001236</v>
      </c>
      <c r="Q3987" t="n">
        <v>-50</v>
      </c>
      <c r="R3987" t="n">
        <v>0.04724</v>
      </c>
      <c r="S3987">
        <f>IMAGE("https://mitra.stanford.edu/kundaje/oak/projects/neuro-variants/variant_position/credible/roussos_2024/variant_figures/roussos_2024.adolescence.Astrocyte/rs34921000_count_position.png",4,220,900)</f>
        <v/>
      </c>
      <c r="T3987">
        <f>IMAGE("https://mitra.stanford.edu/kundaje/oak/projects/neuro-variants/variant_position/credible/roussos_2024/variant_figures/roussos_2024.adolescence.Astrocyte/rs34921000_profile_position.png",4,220,900)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0.181554428</v>
      </c>
      <c r="G3988" t="n">
        <v>0.0246427761132813</v>
      </c>
      <c r="H3988" t="n">
        <v>0.0235551954511695</v>
      </c>
      <c r="I3988" t="n">
        <v>0.0813314630285777</v>
      </c>
      <c r="J3988" t="n">
        <v>0.135685992344895</v>
      </c>
      <c r="K3988" t="n">
        <v>0.2724995481590251</v>
      </c>
      <c r="L3988" t="b">
        <v>0</v>
      </c>
      <c r="M3988" t="b">
        <v>0</v>
      </c>
      <c r="N3988" t="inlineStr">
        <is>
          <t>alt</t>
        </is>
      </c>
      <c r="O3988" t="n">
        <v>50</v>
      </c>
      <c r="P3988" t="n">
        <v>0.02097</v>
      </c>
      <c r="Q3988" t="n">
        <v>45</v>
      </c>
      <c r="R3988" t="n">
        <v>0.11475</v>
      </c>
      <c r="S3988">
        <f>IMAGE("https://mitra.stanford.edu/kundaje/oak/projects/neuro-variants/variant_position/credible/roussos_2024/variant_figures/roussos_2024.adolescence.Astrocyte/rs800531_count_position.png",4,220,900)</f>
        <v/>
      </c>
      <c r="T3988">
        <f>IMAGE("https://mitra.stanford.edu/kundaje/oak/projects/neuro-variants/variant_position/credible/roussos_2024/variant_figures/roussos_2024.adolescence.Astrocyte/rs800531_profile_position.png",4,220,900)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-0.0007201922484</v>
      </c>
      <c r="G3989" t="n">
        <v>0.8094441665490868</v>
      </c>
      <c r="H3989" t="n">
        <v>0.0117526476031528</v>
      </c>
      <c r="I3989" t="n">
        <v>0.5826964312466867</v>
      </c>
      <c r="J3989" t="n">
        <v>0.0125048215292406</v>
      </c>
      <c r="K3989" t="n">
        <v>0.6282462731839938</v>
      </c>
      <c r="L3989" t="b">
        <v>0</v>
      </c>
      <c r="M3989" t="b">
        <v>0</v>
      </c>
      <c r="N3989" t="inlineStr">
        <is>
          <t>ref</t>
        </is>
      </c>
      <c r="O3989" t="n">
        <v>15</v>
      </c>
      <c r="P3989" t="n">
        <v>0.002182</v>
      </c>
      <c r="Q3989" t="n">
        <v>100</v>
      </c>
      <c r="R3989" t="n">
        <v>0.09796000000000001</v>
      </c>
      <c r="S3989">
        <f>IMAGE("https://mitra.stanford.edu/kundaje/oak/projects/neuro-variants/variant_position/credible/roussos_2024/variant_figures/roussos_2024.adolescence.Astrocyte/rs800524_count_position.png",4,220,900)</f>
        <v/>
      </c>
      <c r="T3989">
        <f>IMAGE("https://mitra.stanford.edu/kundaje/oak/projects/neuro-variants/variant_position/credible/roussos_2024/variant_figures/roussos_2024.adolescence.Astrocyte/rs800524_profile_position.png",4,220,900)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0.234868784</v>
      </c>
      <c r="G3990" t="n">
        <v>0.0128432639740557</v>
      </c>
      <c r="H3990" t="n">
        <v>0.0335895691969409</v>
      </c>
      <c r="I3990" t="n">
        <v>0.0228764974393974</v>
      </c>
      <c r="J3990" t="n">
        <v>0.0074177372934159</v>
      </c>
      <c r="K3990" t="n">
        <v>0.7086929800905625</v>
      </c>
      <c r="L3990" t="b">
        <v>1</v>
      </c>
      <c r="M3990" t="b">
        <v>0</v>
      </c>
      <c r="N3990" t="inlineStr">
        <is>
          <t>alt</t>
        </is>
      </c>
      <c r="O3990" t="n">
        <v>100</v>
      </c>
      <c r="P3990" t="n">
        <v>0.03119</v>
      </c>
      <c r="Q3990" t="n">
        <v>75</v>
      </c>
      <c r="R3990" t="n">
        <v>0.03967</v>
      </c>
      <c r="S3990">
        <f>IMAGE("https://mitra.stanford.edu/kundaje/oak/projects/neuro-variants/variant_position/credible/roussos_2024/variant_figures/roussos_2024.adolescence.Astrocyte/rs800582_count_position.png",4,220,900)</f>
        <v/>
      </c>
      <c r="T3990">
        <f>IMAGE("https://mitra.stanford.edu/kundaje/oak/projects/neuro-variants/variant_position/credible/roussos_2024/variant_figures/roussos_2024.adolescence.Astrocyte/rs800582_profile_position.png",4,220,900)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0.01076578936</v>
      </c>
      <c r="G3991" t="n">
        <v>0.7168622958526703</v>
      </c>
      <c r="H3991" t="n">
        <v>0.0163423805046884</v>
      </c>
      <c r="I3991" t="n">
        <v>0.2530392543294942</v>
      </c>
      <c r="J3991" t="n">
        <v>0.0092565943684537</v>
      </c>
      <c r="K3991" t="n">
        <v>0.6743289516799935</v>
      </c>
      <c r="L3991" t="b">
        <v>0</v>
      </c>
      <c r="M3991" t="b">
        <v>0</v>
      </c>
      <c r="N3991" t="inlineStr">
        <is>
          <t>alt</t>
        </is>
      </c>
      <c r="O3991" t="n">
        <v>-100</v>
      </c>
      <c r="P3991" t="n">
        <v>0.01184</v>
      </c>
      <c r="Q3991" t="n">
        <v>-100</v>
      </c>
      <c r="R3991" t="n">
        <v>0.05988</v>
      </c>
      <c r="S3991">
        <f>IMAGE("https://mitra.stanford.edu/kundaje/oak/projects/neuro-variants/variant_position/credible/roussos_2024/variant_figures/roussos_2024.adolescence.Astrocyte/rs4876349_count_position.png",4,220,900)</f>
        <v/>
      </c>
      <c r="T3991">
        <f>IMAGE("https://mitra.stanford.edu/kundaje/oak/projects/neuro-variants/variant_position/credible/roussos_2024/variant_figures/roussos_2024.adolescence.Astrocyte/rs4876349_profile_position.png",4,220,900)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-0.0426015186</v>
      </c>
      <c r="G3992" t="n">
        <v>0.2891579081923961</v>
      </c>
      <c r="H3992" t="n">
        <v>0.0109782818472168</v>
      </c>
      <c r="I3992" t="n">
        <v>0.6595223632089249</v>
      </c>
      <c r="J3992" t="n">
        <v>0.0005904518885558</v>
      </c>
      <c r="K3992" t="n">
        <v>0.9024497841832144</v>
      </c>
      <c r="L3992" t="b">
        <v>0</v>
      </c>
      <c r="M3992" t="b">
        <v>0</v>
      </c>
      <c r="N3992" t="inlineStr">
        <is>
          <t>ref</t>
        </is>
      </c>
      <c r="O3992" t="n">
        <v>-90</v>
      </c>
      <c r="P3992" t="n">
        <v>0.05734</v>
      </c>
      <c r="Q3992" t="n">
        <v>-25</v>
      </c>
      <c r="R3992" t="n">
        <v>0.02441</v>
      </c>
      <c r="S3992">
        <f>IMAGE("https://mitra.stanford.edu/kundaje/oak/projects/neuro-variants/variant_position/credible/roussos_2024/variant_figures/roussos_2024.adolescence.Astrocyte/rs76032162_count_position.png",4,220,900)</f>
        <v/>
      </c>
      <c r="T3992">
        <f>IMAGE("https://mitra.stanford.edu/kundaje/oak/projects/neuro-variants/variant_position/credible/roussos_2024/variant_figures/roussos_2024.adolescence.Astrocyte/rs76032162_profile_position.png",4,220,900)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0.019817772</v>
      </c>
      <c r="G3993" t="n">
        <v>0.5410727598651726</v>
      </c>
      <c r="H3993" t="n">
        <v>0.0095035061060445</v>
      </c>
      <c r="I3993" t="n">
        <v>0.8136781169064845</v>
      </c>
      <c r="J3993" t="n">
        <v>0.0603225232175176</v>
      </c>
      <c r="K3993" t="n">
        <v>0.4254348278474923</v>
      </c>
      <c r="L3993" t="b">
        <v>0</v>
      </c>
      <c r="M3993" t="b">
        <v>0</v>
      </c>
      <c r="N3993" t="inlineStr">
        <is>
          <t>alt</t>
        </is>
      </c>
      <c r="O3993" t="n">
        <v>-100</v>
      </c>
      <c r="P3993" t="n">
        <v>0.007965</v>
      </c>
      <c r="Q3993" t="n">
        <v>100</v>
      </c>
      <c r="R3993" t="n">
        <v>0.1533</v>
      </c>
      <c r="S3993">
        <f>IMAGE("https://mitra.stanford.edu/kundaje/oak/projects/neuro-variants/variant_position/credible/roussos_2024/variant_figures/roussos_2024.adolescence.Astrocyte/rs10099070_count_position.png",4,220,900)</f>
        <v/>
      </c>
      <c r="T3993">
        <f>IMAGE("https://mitra.stanford.edu/kundaje/oak/projects/neuro-variants/variant_position/credible/roussos_2024/variant_figures/roussos_2024.adolescence.Astrocyte/rs10099070_profile_position.png",4,220,900)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-0.00736627332</v>
      </c>
      <c r="G3994" t="n">
        <v>0.6108420024001083</v>
      </c>
      <c r="H3994" t="n">
        <v>0.0427036161575487</v>
      </c>
      <c r="I3994" t="n">
        <v>0.007288482718693</v>
      </c>
      <c r="J3994" t="n">
        <v>0.0058451769872117</v>
      </c>
      <c r="K3994" t="n">
        <v>0.7369936388207764</v>
      </c>
      <c r="L3994" t="b">
        <v>0</v>
      </c>
      <c r="M3994" t="b">
        <v>0</v>
      </c>
      <c r="N3994" t="inlineStr">
        <is>
          <t>ref</t>
        </is>
      </c>
      <c r="O3994" t="n">
        <v>-85</v>
      </c>
      <c r="P3994" t="n">
        <v>0.005096</v>
      </c>
      <c r="Q3994" t="n">
        <v>-65</v>
      </c>
      <c r="R3994" t="n">
        <v>0.11255</v>
      </c>
      <c r="S3994">
        <f>IMAGE("https://mitra.stanford.edu/kundaje/oak/projects/neuro-variants/variant_position/credible/roussos_2024/variant_figures/roussos_2024.adolescence.Astrocyte/rs10111734_count_position.png",4,220,900)</f>
        <v/>
      </c>
      <c r="T3994">
        <f>IMAGE("https://mitra.stanford.edu/kundaje/oak/projects/neuro-variants/variant_position/credible/roussos_2024/variant_figures/roussos_2024.adolescence.Astrocyte/rs10111734_profile_position.png",4,220,900)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0.06603574644</v>
      </c>
      <c r="G3995" t="n">
        <v>0.2098160565100526</v>
      </c>
      <c r="H3995" t="n">
        <v>0.0146605000362311</v>
      </c>
      <c r="I3995" t="n">
        <v>0.3468782927798651</v>
      </c>
      <c r="J3995" t="n">
        <v>0.0045040500845621</v>
      </c>
      <c r="K3995" t="n">
        <v>0.7877952808230801</v>
      </c>
      <c r="L3995" t="b">
        <v>0</v>
      </c>
      <c r="M3995" t="b">
        <v>0</v>
      </c>
      <c r="N3995" t="inlineStr">
        <is>
          <t>alt</t>
        </is>
      </c>
      <c r="O3995" t="n">
        <v>-35</v>
      </c>
      <c r="P3995" t="n">
        <v>0.002182</v>
      </c>
      <c r="Q3995" t="n">
        <v>-5</v>
      </c>
      <c r="R3995" t="n">
        <v>0.02185</v>
      </c>
      <c r="S3995">
        <f>IMAGE("https://mitra.stanford.edu/kundaje/oak/projects/neuro-variants/variant_position/credible/roussos_2024/variant_figures/roussos_2024.adolescence.Astrocyte/rs6577846_count_position.png",4,220,900)</f>
        <v/>
      </c>
      <c r="T3995">
        <f>IMAGE("https://mitra.stanford.edu/kundaje/oak/projects/neuro-variants/variant_position/credible/roussos_2024/variant_figures/roussos_2024.adolescence.Astrocyte/rs6577846_profile_position.png",4,220,900)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-0.001166853</v>
      </c>
      <c r="G3996" t="n">
        <v>0.5875979736791836</v>
      </c>
      <c r="H3996" t="n">
        <v>0.01888924418815</v>
      </c>
      <c r="I3996" t="n">
        <v>0.1644296135167668</v>
      </c>
      <c r="J3996" t="n">
        <v>0.3463482479304512</v>
      </c>
      <c r="K3996" t="n">
        <v>0.1100506325923038</v>
      </c>
      <c r="L3996" t="b">
        <v>0</v>
      </c>
      <c r="M3996" t="b">
        <v>0</v>
      </c>
      <c r="N3996" t="inlineStr">
        <is>
          <t>ref</t>
        </is>
      </c>
      <c r="O3996" t="n">
        <v>50</v>
      </c>
      <c r="P3996" t="n">
        <v>0.01642</v>
      </c>
      <c r="Q3996" t="n">
        <v>100</v>
      </c>
      <c r="R3996" t="n">
        <v>0.1533</v>
      </c>
      <c r="S3996">
        <f>IMAGE("https://mitra.stanford.edu/kundaje/oak/projects/neuro-variants/variant_position/credible/roussos_2024/variant_figures/roussos_2024.adolescence.Astrocyte/rs10095483_count_position.png",4,220,900)</f>
        <v/>
      </c>
      <c r="T3996">
        <f>IMAGE("https://mitra.stanford.edu/kundaje/oak/projects/neuro-variants/variant_position/credible/roussos_2024/variant_figures/roussos_2024.adolescence.Astrocyte/rs10095483_profile_position.png",4,220,900)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0.0210006828999999</v>
      </c>
      <c r="G3997" t="n">
        <v>0.5184838141712987</v>
      </c>
      <c r="H3997" t="n">
        <v>0.0076135088667636</v>
      </c>
      <c r="I3997" t="n">
        <v>0.9510293878739438</v>
      </c>
      <c r="J3997" t="n">
        <v>0.0114344420378007</v>
      </c>
      <c r="K3997" t="n">
        <v>0.6420867381353277</v>
      </c>
      <c r="L3997" t="b">
        <v>0</v>
      </c>
      <c r="M3997" t="b">
        <v>0</v>
      </c>
      <c r="N3997" t="inlineStr">
        <is>
          <t>alt</t>
        </is>
      </c>
      <c r="O3997" t="n">
        <v>50</v>
      </c>
      <c r="P3997" t="n">
        <v>0.01452</v>
      </c>
      <c r="Q3997" t="n">
        <v>-80</v>
      </c>
      <c r="R3997" t="n">
        <v>0.1118</v>
      </c>
      <c r="S3997">
        <f>IMAGE("https://mitra.stanford.edu/kundaje/oak/projects/neuro-variants/variant_position/credible/roussos_2024/variant_figures/roussos_2024.adolescence.Astrocyte/rs7844406_count_position.png",4,220,900)</f>
        <v/>
      </c>
      <c r="T3997">
        <f>IMAGE("https://mitra.stanford.edu/kundaje/oak/projects/neuro-variants/variant_position/credible/roussos_2024/variant_figures/roussos_2024.adolescence.Astrocyte/rs7844406_profile_position.png",4,220,900)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-0.01269219876</v>
      </c>
      <c r="G3998" t="n">
        <v>0.6917376057722959</v>
      </c>
      <c r="H3998" t="n">
        <v>0.0325114496352913</v>
      </c>
      <c r="I3998" t="n">
        <v>0.0237261844104015</v>
      </c>
      <c r="J3998" t="n">
        <v>0.0365353232649912</v>
      </c>
      <c r="K3998" t="n">
        <v>0.4844148289920326</v>
      </c>
      <c r="L3998" t="b">
        <v>0</v>
      </c>
      <c r="M3998" t="b">
        <v>0</v>
      </c>
      <c r="N3998" t="inlineStr">
        <is>
          <t>ref</t>
        </is>
      </c>
      <c r="O3998" t="n">
        <v>-30</v>
      </c>
      <c r="P3998" t="n">
        <v>0.002441</v>
      </c>
      <c r="Q3998" t="n">
        <v>0</v>
      </c>
      <c r="R3998" t="n">
        <v>0</v>
      </c>
      <c r="S3998">
        <f>IMAGE("https://mitra.stanford.edu/kundaje/oak/projects/neuro-variants/variant_position/credible/roussos_2024/variant_figures/roussos_2024.adolescence.Astrocyte/rs7840432_count_position.png",4,220,900)</f>
        <v/>
      </c>
      <c r="T3998">
        <f>IMAGE("https://mitra.stanford.edu/kundaje/oak/projects/neuro-variants/variant_position/credible/roussos_2024/variant_figures/roussos_2024.adolescence.Astrocyte/rs7840432_profile_position.png",4,220,900)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0.374919956</v>
      </c>
      <c r="G3999" t="n">
        <v>0.0034279843413774</v>
      </c>
      <c r="H3999" t="n">
        <v>0.0430109809392902</v>
      </c>
      <c r="I3999" t="n">
        <v>0.0080797853265062</v>
      </c>
      <c r="J3999" t="n">
        <v>0.5525635700086045</v>
      </c>
      <c r="K3999" t="n">
        <v>0.0417737686663803</v>
      </c>
      <c r="L3999" t="b">
        <v>1</v>
      </c>
      <c r="M3999" t="b">
        <v>1</v>
      </c>
      <c r="N3999" t="inlineStr">
        <is>
          <t>alt</t>
        </is>
      </c>
      <c r="O3999" t="n">
        <v>100</v>
      </c>
      <c r="P3999" t="n">
        <v>0.01624</v>
      </c>
      <c r="Q3999" t="n">
        <v>100</v>
      </c>
      <c r="R3999" t="n">
        <v>0.1816</v>
      </c>
      <c r="S3999">
        <f>IMAGE("https://mitra.stanford.edu/kundaje/oak/projects/neuro-variants/variant_position/credible/roussos_2024/variant_figures/roussos_2024.adolescence.Astrocyte/rs13274282_count_position.png",4,220,900)</f>
        <v/>
      </c>
      <c r="T3999">
        <f>IMAGE("https://mitra.stanford.edu/kundaje/oak/projects/neuro-variants/variant_position/credible/roussos_2024/variant_figures/roussos_2024.adolescence.Astrocyte/rs13274282_profile_position.png",4,220,900)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-0.03847987286</v>
      </c>
      <c r="G4000" t="n">
        <v>0.3449562255709968</v>
      </c>
      <c r="H4000" t="n">
        <v>0.0120918310488316</v>
      </c>
      <c r="I4000" t="n">
        <v>0.5482303133445164</v>
      </c>
      <c r="J4000" t="n">
        <v>0.3965893243924873</v>
      </c>
      <c r="K4000" t="n">
        <v>0.08894111251075131</v>
      </c>
      <c r="L4000" t="b">
        <v>0</v>
      </c>
      <c r="M4000" t="b">
        <v>0</v>
      </c>
      <c r="N4000" t="inlineStr">
        <is>
          <t>ref</t>
        </is>
      </c>
      <c r="O4000" t="n">
        <v>-45</v>
      </c>
      <c r="P4000" t="n">
        <v>0.01056</v>
      </c>
      <c r="Q4000" t="n">
        <v>-20</v>
      </c>
      <c r="R4000" t="n">
        <v>0.1011</v>
      </c>
      <c r="S4000">
        <f>IMAGE("https://mitra.stanford.edu/kundaje/oak/projects/neuro-variants/variant_position/credible/roussos_2024/variant_figures/roussos_2024.adolescence.Astrocyte/rs62520201_count_position.png",4,220,900)</f>
        <v/>
      </c>
      <c r="T4000">
        <f>IMAGE("https://mitra.stanford.edu/kundaje/oak/projects/neuro-variants/variant_position/credible/roussos_2024/variant_figures/roussos_2024.adolescence.Astrocyte/rs62520201_profile_position.png",4,220,900)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0.1934330919999999</v>
      </c>
      <c r="G4001" t="n">
        <v>0.0214496232357862</v>
      </c>
      <c r="H4001" t="n">
        <v>0.0263643761940363</v>
      </c>
      <c r="I4001" t="n">
        <v>0.054465101148713</v>
      </c>
      <c r="J4001" t="n">
        <v>0.4295982553481886</v>
      </c>
      <c r="K4001" t="n">
        <v>0.07686333943155491</v>
      </c>
      <c r="L4001" t="b">
        <v>0</v>
      </c>
      <c r="M4001" t="b">
        <v>0</v>
      </c>
      <c r="N4001" t="inlineStr">
        <is>
          <t>alt</t>
        </is>
      </c>
      <c r="O4001" t="n">
        <v>85</v>
      </c>
      <c r="P4001" t="n">
        <v>0.006264</v>
      </c>
      <c r="Q4001" t="n">
        <v>-40</v>
      </c>
      <c r="R4001" t="n">
        <v>0.05518</v>
      </c>
      <c r="S4001">
        <f>IMAGE("https://mitra.stanford.edu/kundaje/oak/projects/neuro-variants/variant_position/credible/roussos_2024/variant_figures/roussos_2024.adolescence.Astrocyte/rs2319423_count_position.png",4,220,900)</f>
        <v/>
      </c>
      <c r="T4001">
        <f>IMAGE("https://mitra.stanford.edu/kundaje/oak/projects/neuro-variants/variant_position/credible/roussos_2024/variant_figures/roussos_2024.adolescence.Astrocyte/rs2319423_profile_position.png",4,220,900)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-0.008171709900000001</v>
      </c>
      <c r="G4002" t="n">
        <v>0.6312840895126102</v>
      </c>
      <c r="H4002" t="n">
        <v>0.009876819600849501</v>
      </c>
      <c r="I4002" t="n">
        <v>0.7502166209154624</v>
      </c>
      <c r="J4002" t="n">
        <v>0.1990497878527133</v>
      </c>
      <c r="K4002" t="n">
        <v>0.2061159947949236</v>
      </c>
      <c r="L4002" t="b">
        <v>0</v>
      </c>
      <c r="M4002" t="b">
        <v>0</v>
      </c>
      <c r="N4002" t="inlineStr">
        <is>
          <t>ref</t>
        </is>
      </c>
      <c r="O4002" t="n">
        <v>-95</v>
      </c>
      <c r="P4002" t="n">
        <v>0.0348</v>
      </c>
      <c r="Q4002" t="n">
        <v>-90</v>
      </c>
      <c r="R4002" t="n">
        <v>0.341</v>
      </c>
      <c r="S4002">
        <f>IMAGE("https://mitra.stanford.edu/kundaje/oak/projects/neuro-variants/variant_position/credible/roussos_2024/variant_figures/roussos_2024.adolescence.Astrocyte/rs10101804_count_position.png",4,220,900)</f>
        <v/>
      </c>
      <c r="T4002">
        <f>IMAGE("https://mitra.stanford.edu/kundaje/oak/projects/neuro-variants/variant_position/credible/roussos_2024/variant_figures/roussos_2024.adolescence.Astrocyte/rs10101804_profile_position.png",4,220,900)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-0.0352968292</v>
      </c>
      <c r="G4003" t="n">
        <v>0.3717887563241749</v>
      </c>
      <c r="H4003" t="n">
        <v>0.0403651420637819</v>
      </c>
      <c r="I4003" t="n">
        <v>0.0093254183049221</v>
      </c>
      <c r="J4003" t="n">
        <v>7.121027801677931e-05</v>
      </c>
      <c r="K4003" t="n">
        <v>0.9890942903213998</v>
      </c>
      <c r="L4003" t="b">
        <v>0</v>
      </c>
      <c r="M4003" t="b">
        <v>0</v>
      </c>
      <c r="N4003" t="inlineStr">
        <is>
          <t>ref</t>
        </is>
      </c>
      <c r="O4003" t="n">
        <v>-15</v>
      </c>
      <c r="P4003" t="n">
        <v>0.001434</v>
      </c>
      <c r="Q4003" t="n">
        <v>-60</v>
      </c>
      <c r="R4003" t="n">
        <v>0.02101</v>
      </c>
      <c r="S4003">
        <f>IMAGE("https://mitra.stanford.edu/kundaje/oak/projects/neuro-variants/variant_position/credible/roussos_2024/variant_figures/roussos_2024.adolescence.Astrocyte/rs9693845_count_position.png",4,220,900)</f>
        <v/>
      </c>
      <c r="T4003">
        <f>IMAGE("https://mitra.stanford.edu/kundaje/oak/projects/neuro-variants/variant_position/credible/roussos_2024/variant_figures/roussos_2024.adolescence.Astrocyte/rs9693845_profile_position.png",4,220,900)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0.0133229183899999</v>
      </c>
      <c r="G4004" t="n">
        <v>0.6622314202659413</v>
      </c>
      <c r="H4004" t="n">
        <v>0.0145955648014153</v>
      </c>
      <c r="I4004" t="n">
        <v>0.3486221080151274</v>
      </c>
      <c r="J4004" t="n">
        <v>0.0028039046969112</v>
      </c>
      <c r="K4004" t="n">
        <v>0.7932126288352098</v>
      </c>
      <c r="L4004" t="b">
        <v>0</v>
      </c>
      <c r="M4004" t="b">
        <v>0</v>
      </c>
      <c r="N4004" t="inlineStr">
        <is>
          <t>alt</t>
        </is>
      </c>
      <c r="O4004" t="n">
        <v>95</v>
      </c>
      <c r="P4004" t="n">
        <v>0.003883</v>
      </c>
      <c r="Q4004" t="n">
        <v>60</v>
      </c>
      <c r="R4004" t="n">
        <v>0.09619999999999999</v>
      </c>
      <c r="S4004">
        <f>IMAGE("https://mitra.stanford.edu/kundaje/oak/projects/neuro-variants/variant_position/credible/roussos_2024/variant_figures/roussos_2024.adolescence.Astrocyte/rs16893602_count_position.png",4,220,900)</f>
        <v/>
      </c>
      <c r="T4004">
        <f>IMAGE("https://mitra.stanford.edu/kundaje/oak/projects/neuro-variants/variant_position/credible/roussos_2024/variant_figures/roussos_2024.adolescence.Astrocyte/rs16893602_profile_position.png",4,220,900)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-0.0349404032</v>
      </c>
      <c r="G4005" t="n">
        <v>0.154451399848122</v>
      </c>
      <c r="H4005" t="n">
        <v>0.0189081835691385</v>
      </c>
      <c r="I4005" t="n">
        <v>0.1698026832777038</v>
      </c>
      <c r="J4005" t="n">
        <v>0.1722420852743078</v>
      </c>
      <c r="K4005" t="n">
        <v>0.2311997405637374</v>
      </c>
      <c r="L4005" t="b">
        <v>0</v>
      </c>
      <c r="M4005" t="b">
        <v>0</v>
      </c>
      <c r="N4005" t="inlineStr">
        <is>
          <t>ref</t>
        </is>
      </c>
      <c r="O4005" t="n">
        <v>90</v>
      </c>
      <c r="P4005" t="n">
        <v>0.004517</v>
      </c>
      <c r="Q4005" t="n">
        <v>-90</v>
      </c>
      <c r="R4005" t="n">
        <v>0.0575</v>
      </c>
      <c r="S4005">
        <f>IMAGE("https://mitra.stanford.edu/kundaje/oak/projects/neuro-variants/variant_position/credible/roussos_2024/variant_figures/roussos_2024.adolescence.Astrocyte/rs741469_count_position.png",4,220,900)</f>
        <v/>
      </c>
      <c r="T4005">
        <f>IMAGE("https://mitra.stanford.edu/kundaje/oak/projects/neuro-variants/variant_position/credible/roussos_2024/variant_figures/roussos_2024.adolescence.Astrocyte/rs741469_profile_position.png",4,220,900)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-0.09353487520000001</v>
      </c>
      <c r="G4006" t="n">
        <v>0.08895162333947849</v>
      </c>
      <c r="H4006" t="n">
        <v>0.0308464494840023</v>
      </c>
      <c r="I4006" t="n">
        <v>0.0288318467969757</v>
      </c>
      <c r="J4006" t="n">
        <v>0.362622763552206</v>
      </c>
      <c r="K4006" t="n">
        <v>0.1036298870292074</v>
      </c>
      <c r="L4006" t="b">
        <v>0</v>
      </c>
      <c r="M4006" t="b">
        <v>0</v>
      </c>
      <c r="N4006" t="inlineStr">
        <is>
          <t>ref</t>
        </is>
      </c>
      <c r="O4006" t="n">
        <v>-75</v>
      </c>
      <c r="P4006" t="n">
        <v>0.0905</v>
      </c>
      <c r="Q4006" t="n">
        <v>-100</v>
      </c>
      <c r="R4006" t="n">
        <v>0.1853</v>
      </c>
      <c r="S4006">
        <f>IMAGE("https://mitra.stanford.edu/kundaje/oak/projects/neuro-variants/variant_position/credible/roussos_2024/variant_figures/roussos_2024.adolescence.Astrocyte/rs199211_count_position.png",4,220,900)</f>
        <v/>
      </c>
      <c r="T4006">
        <f>IMAGE("https://mitra.stanford.edu/kundaje/oak/projects/neuro-variants/variant_position/credible/roussos_2024/variant_figures/roussos_2024.adolescence.Astrocyte/rs199211_profile_position.png",4,220,900)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-0.0346351808</v>
      </c>
      <c r="G4007" t="n">
        <v>0.1876361897744131</v>
      </c>
      <c r="H4007" t="n">
        <v>0.0143080291888712</v>
      </c>
      <c r="I4007" t="n">
        <v>0.364605629965604</v>
      </c>
      <c r="J4007" t="n">
        <v>0.105567753612438</v>
      </c>
      <c r="K4007" t="n">
        <v>0.3173295553886255</v>
      </c>
      <c r="L4007" t="b">
        <v>0</v>
      </c>
      <c r="M4007" t="b">
        <v>0</v>
      </c>
      <c r="N4007" t="inlineStr">
        <is>
          <t>ref</t>
        </is>
      </c>
      <c r="O4007" t="n">
        <v>95</v>
      </c>
      <c r="P4007" t="n">
        <v>0.005577</v>
      </c>
      <c r="Q4007" t="n">
        <v>-40</v>
      </c>
      <c r="R4007" t="n">
        <v>0.07886</v>
      </c>
      <c r="S4007">
        <f>IMAGE("https://mitra.stanford.edu/kundaje/oak/projects/neuro-variants/variant_position/credible/roussos_2024/variant_figures/roussos_2024.adolescence.Astrocyte/rs11786405_count_position.png",4,220,900)</f>
        <v/>
      </c>
      <c r="T4007">
        <f>IMAGE("https://mitra.stanford.edu/kundaje/oak/projects/neuro-variants/variant_position/credible/roussos_2024/variant_figures/roussos_2024.adolescence.Astrocyte/rs11786405_profile_position.png",4,220,900)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0.0815202418</v>
      </c>
      <c r="G4008" t="n">
        <v>0.1098633532657499</v>
      </c>
      <c r="H4008" t="n">
        <v>0.0167290271182031</v>
      </c>
      <c r="I4008" t="n">
        <v>0.2381782420993103</v>
      </c>
      <c r="J4008" t="n">
        <v>0.649882799750764</v>
      </c>
      <c r="K4008" t="n">
        <v>0.0250037360489986</v>
      </c>
      <c r="L4008" t="b">
        <v>0</v>
      </c>
      <c r="M4008" t="b">
        <v>0</v>
      </c>
      <c r="N4008" t="inlineStr">
        <is>
          <t>alt</t>
        </is>
      </c>
      <c r="O4008" t="n">
        <v>-50</v>
      </c>
      <c r="P4008" t="n">
        <v>0.0007095</v>
      </c>
      <c r="Q4008" t="n">
        <v>-40</v>
      </c>
      <c r="R4008" t="n">
        <v>0.0476</v>
      </c>
      <c r="S4008">
        <f>IMAGE("https://mitra.stanford.edu/kundaje/oak/projects/neuro-variants/variant_position/credible/roussos_2024/variant_figures/roussos_2024.adolescence.Astrocyte/rs4976978_count_position.png",4,220,900)</f>
        <v/>
      </c>
      <c r="T4008">
        <f>IMAGE("https://mitra.stanford.edu/kundaje/oak/projects/neuro-variants/variant_position/credible/roussos_2024/variant_figures/roussos_2024.adolescence.Astrocyte/rs4976978_profile_position.png",4,220,900)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0.0714516254</v>
      </c>
      <c r="G4009" t="n">
        <v>0.1367181262666444</v>
      </c>
      <c r="H4009" t="n">
        <v>0.0200329331522326</v>
      </c>
      <c r="I4009" t="n">
        <v>0.1422303462866711</v>
      </c>
      <c r="J4009" t="n">
        <v>0.0479096816307153</v>
      </c>
      <c r="K4009" t="n">
        <v>0.4873917986608079</v>
      </c>
      <c r="L4009" t="b">
        <v>0</v>
      </c>
      <c r="M4009" t="b">
        <v>0</v>
      </c>
      <c r="N4009" t="inlineStr">
        <is>
          <t>alt</t>
        </is>
      </c>
      <c r="O4009" t="n">
        <v>100</v>
      </c>
      <c r="P4009" t="n">
        <v>0.003311</v>
      </c>
      <c r="Q4009" t="n">
        <v>100</v>
      </c>
      <c r="R4009" t="n">
        <v>0.1476</v>
      </c>
      <c r="S4009">
        <f>IMAGE("https://mitra.stanford.edu/kundaje/oak/projects/neuro-variants/variant_position/credible/roussos_2024/variant_figures/roussos_2024.adolescence.Astrocyte/rs4976981_count_position.png",4,220,900)</f>
        <v/>
      </c>
      <c r="T4009">
        <f>IMAGE("https://mitra.stanford.edu/kundaje/oak/projects/neuro-variants/variant_position/credible/roussos_2024/variant_figures/roussos_2024.adolescence.Astrocyte/rs4976981_profile_position.png",4,220,900)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-0.201264128</v>
      </c>
      <c r="G4010" t="n">
        <v>0.018218216263225</v>
      </c>
      <c r="H4010" t="n">
        <v>0.0174844237636631</v>
      </c>
      <c r="I4010" t="n">
        <v>0.2202063015755706</v>
      </c>
      <c r="J4010" t="n">
        <v>0.0259895261549416</v>
      </c>
      <c r="K4010" t="n">
        <v>0.5461711019997877</v>
      </c>
      <c r="L4010" t="b">
        <v>1</v>
      </c>
      <c r="M4010" t="b">
        <v>0</v>
      </c>
      <c r="N4010" t="inlineStr">
        <is>
          <t>ref</t>
        </is>
      </c>
      <c r="O4010" t="n">
        <v>-60</v>
      </c>
      <c r="P4010" t="n">
        <v>0.0569</v>
      </c>
      <c r="Q4010" t="n">
        <v>50</v>
      </c>
      <c r="R4010" t="n">
        <v>0.1106</v>
      </c>
      <c r="S4010">
        <f>IMAGE("https://mitra.stanford.edu/kundaje/oak/projects/neuro-variants/variant_position/credible/roussos_2024/variant_figures/roussos_2024.adolescence.Astrocyte/rs7832212_count_position.png",4,220,900)</f>
        <v/>
      </c>
      <c r="T4010">
        <f>IMAGE("https://mitra.stanford.edu/kundaje/oak/projects/neuro-variants/variant_position/credible/roussos_2024/variant_figures/roussos_2024.adolescence.Astrocyte/rs7832212_profile_position.png",4,220,900)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0.1815175066</v>
      </c>
      <c r="G4011" t="n">
        <v>0.02543623969438</v>
      </c>
      <c r="H4011" t="n">
        <v>0.0165328746230087</v>
      </c>
      <c r="I4011" t="n">
        <v>0.253153843679641</v>
      </c>
      <c r="J4011" t="n">
        <v>0.0295077589532088</v>
      </c>
      <c r="K4011" t="n">
        <v>0.5230217507769346</v>
      </c>
      <c r="L4011" t="b">
        <v>0</v>
      </c>
      <c r="M4011" t="b">
        <v>0</v>
      </c>
      <c r="N4011" t="inlineStr">
        <is>
          <t>alt</t>
        </is>
      </c>
      <c r="O4011" t="n">
        <v>-100</v>
      </c>
      <c r="P4011" t="n">
        <v>0.00988</v>
      </c>
      <c r="Q4011" t="n">
        <v>-40</v>
      </c>
      <c r="R4011" t="n">
        <v>0.0166</v>
      </c>
      <c r="S4011">
        <f>IMAGE("https://mitra.stanford.edu/kundaje/oak/projects/neuro-variants/variant_position/credible/roussos_2024/variant_figures/roussos_2024.adolescence.Astrocyte/rs7822538_count_position.png",4,220,900)</f>
        <v/>
      </c>
      <c r="T4011">
        <f>IMAGE("https://mitra.stanford.edu/kundaje/oak/projects/neuro-variants/variant_position/credible/roussos_2024/variant_figures/roussos_2024.adolescence.Astrocyte/rs7822538_profile_position.png",4,220,900)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-0.00596945596</v>
      </c>
      <c r="G4012" t="n">
        <v>0.673294420538326</v>
      </c>
      <c r="H4012" t="n">
        <v>0.01295593835042</v>
      </c>
      <c r="I4012" t="n">
        <v>0.4693373157132625</v>
      </c>
      <c r="J4012" t="n">
        <v>0.557719639201258</v>
      </c>
      <c r="K4012" t="n">
        <v>0.0421151821340843</v>
      </c>
      <c r="L4012" t="b">
        <v>0</v>
      </c>
      <c r="M4012" t="b">
        <v>0</v>
      </c>
      <c r="N4012" t="inlineStr">
        <is>
          <t>ref</t>
        </is>
      </c>
      <c r="O4012" t="n">
        <v>-75</v>
      </c>
      <c r="P4012" t="n">
        <v>0.004345</v>
      </c>
      <c r="Q4012" t="n">
        <v>80</v>
      </c>
      <c r="R4012" t="n">
        <v>0.02509</v>
      </c>
      <c r="S4012">
        <f>IMAGE("https://mitra.stanford.edu/kundaje/oak/projects/neuro-variants/variant_position/credible/roussos_2024/variant_figures/roussos_2024.adolescence.Astrocyte/rs9694368_count_position.png",4,220,900)</f>
        <v/>
      </c>
      <c r="T4012">
        <f>IMAGE("https://mitra.stanford.edu/kundaje/oak/projects/neuro-variants/variant_position/credible/roussos_2024/variant_figures/roussos_2024.adolescence.Astrocyte/rs9694368_profile_position.png",4,220,900)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-0.008483018199999999</v>
      </c>
      <c r="G4013" t="n">
        <v>0.7597042465855536</v>
      </c>
      <c r="H4013" t="n">
        <v>0.0120086141127357</v>
      </c>
      <c r="I4013" t="n">
        <v>0.5595253680923283</v>
      </c>
      <c r="J4013" t="n">
        <v>0.2461620627243864</v>
      </c>
      <c r="K4013" t="n">
        <v>0.1692328556250954</v>
      </c>
      <c r="L4013" t="b">
        <v>0</v>
      </c>
      <c r="M4013" t="b">
        <v>0</v>
      </c>
      <c r="N4013" t="inlineStr">
        <is>
          <t>ref</t>
        </is>
      </c>
      <c r="O4013" t="n">
        <v>100</v>
      </c>
      <c r="P4013" t="n">
        <v>0.002304</v>
      </c>
      <c r="Q4013" t="n">
        <v>-75</v>
      </c>
      <c r="R4013" t="n">
        <v>0.0667</v>
      </c>
      <c r="S4013">
        <f>IMAGE("https://mitra.stanford.edu/kundaje/oak/projects/neuro-variants/variant_position/credible/roussos_2024/variant_figures/roussos_2024.adolescence.Astrocyte/rs7830479_count_position.png",4,220,900)</f>
        <v/>
      </c>
      <c r="T4013">
        <f>IMAGE("https://mitra.stanford.edu/kundaje/oak/projects/neuro-variants/variant_position/credible/roussos_2024/variant_figures/roussos_2024.adolescence.Astrocyte/rs7830479_profile_position.png",4,220,900)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0.170837156</v>
      </c>
      <c r="G4014" t="n">
        <v>0.0318656765665476</v>
      </c>
      <c r="H4014" t="n">
        <v>0.0375228050194943</v>
      </c>
      <c r="I4014" t="n">
        <v>0.0178657989579894</v>
      </c>
      <c r="J4014" t="n">
        <v>0.3284381212354983</v>
      </c>
      <c r="K4014" t="n">
        <v>0.1194762133010201</v>
      </c>
      <c r="L4014" t="b">
        <v>1</v>
      </c>
      <c r="M4014" t="b">
        <v>0</v>
      </c>
      <c r="N4014" t="inlineStr">
        <is>
          <t>alt</t>
        </is>
      </c>
      <c r="O4014" t="n">
        <v>80</v>
      </c>
      <c r="P4014" t="n">
        <v>0.003067</v>
      </c>
      <c r="Q4014" t="n">
        <v>-10</v>
      </c>
      <c r="R4014" t="n">
        <v>0.01563</v>
      </c>
      <c r="S4014">
        <f>IMAGE("https://mitra.stanford.edu/kundaje/oak/projects/neuro-variants/variant_position/credible/roussos_2024/variant_figures/roussos_2024.adolescence.Astrocyte/rs7824786_count_position.png",4,220,900)</f>
        <v/>
      </c>
      <c r="T4014">
        <f>IMAGE("https://mitra.stanford.edu/kundaje/oak/projects/neuro-variants/variant_position/credible/roussos_2024/variant_figures/roussos_2024.adolescence.Astrocyte/rs7824786_profile_position.png",4,220,900)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-0.1036648739999999</v>
      </c>
      <c r="G4015" t="n">
        <v>0.0766281286201651</v>
      </c>
      <c r="H4015" t="n">
        <v>0.0122740653466141</v>
      </c>
      <c r="I4015" t="n">
        <v>0.5301032090726974</v>
      </c>
      <c r="J4015" t="n">
        <v>0.4480906744206747</v>
      </c>
      <c r="K4015" t="n">
        <v>0.071861553045038</v>
      </c>
      <c r="L4015" t="b">
        <v>0</v>
      </c>
      <c r="M4015" t="b">
        <v>0</v>
      </c>
      <c r="N4015" t="inlineStr">
        <is>
          <t>ref</t>
        </is>
      </c>
      <c r="O4015" t="n">
        <v>-100</v>
      </c>
      <c r="P4015" t="n">
        <v>0.0641</v>
      </c>
      <c r="Q4015" t="n">
        <v>-75</v>
      </c>
      <c r="R4015" t="n">
        <v>0.3198</v>
      </c>
      <c r="S4015">
        <f>IMAGE("https://mitra.stanford.edu/kundaje/oak/projects/neuro-variants/variant_position/credible/roussos_2024/variant_figures/roussos_2024.adolescence.Astrocyte/rs11996840_count_position.png",4,220,900)</f>
        <v/>
      </c>
      <c r="T4015">
        <f>IMAGE("https://mitra.stanford.edu/kundaje/oak/projects/neuro-variants/variant_position/credible/roussos_2024/variant_figures/roussos_2024.adolescence.Astrocyte/rs11996840_profile_position.png",4,220,900)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0.050329437</v>
      </c>
      <c r="G4016" t="n">
        <v>0.2245410593717136</v>
      </c>
      <c r="H4016" t="n">
        <v>0.0086820647486701</v>
      </c>
      <c r="I4016" t="n">
        <v>0.8745673389700936</v>
      </c>
      <c r="J4016" t="n">
        <v>0.0441392457644719</v>
      </c>
      <c r="K4016" t="n">
        <v>0.4588667595263406</v>
      </c>
      <c r="L4016" t="b">
        <v>0</v>
      </c>
      <c r="M4016" t="b">
        <v>0</v>
      </c>
      <c r="N4016" t="inlineStr">
        <is>
          <t>alt</t>
        </is>
      </c>
      <c r="O4016" t="n">
        <v>-70</v>
      </c>
      <c r="P4016" t="n">
        <v>0.01427</v>
      </c>
      <c r="Q4016" t="n">
        <v>25</v>
      </c>
      <c r="R4016" t="n">
        <v>0.02478</v>
      </c>
      <c r="S4016">
        <f>IMAGE("https://mitra.stanford.edu/kundaje/oak/projects/neuro-variants/variant_position/credible/roussos_2024/variant_figures/roussos_2024.adolescence.Astrocyte/rs117423761_count_position.png",4,220,900)</f>
        <v/>
      </c>
      <c r="T4016">
        <f>IMAGE("https://mitra.stanford.edu/kundaje/oak/projects/neuro-variants/variant_position/credible/roussos_2024/variant_figures/roussos_2024.adolescence.Astrocyte/rs117423761_profile_position.png",4,220,900)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0.0010072357</v>
      </c>
      <c r="G4017" t="n">
        <v>0.6621744626880611</v>
      </c>
      <c r="H4017" t="n">
        <v>0.0136929596387052</v>
      </c>
      <c r="I4017" t="n">
        <v>0.4130223869110405</v>
      </c>
      <c r="J4017" t="n">
        <v>0.242256624039403</v>
      </c>
      <c r="K4017" t="n">
        <v>0.1725169318968842</v>
      </c>
      <c r="L4017" t="b">
        <v>0</v>
      </c>
      <c r="M4017" t="b">
        <v>0</v>
      </c>
      <c r="N4017" t="inlineStr">
        <is>
          <t>alt</t>
        </is>
      </c>
      <c r="O4017" t="n">
        <v>-10</v>
      </c>
      <c r="P4017" t="n">
        <v>0.000145</v>
      </c>
      <c r="Q4017" t="n">
        <v>-50</v>
      </c>
      <c r="R4017" t="n">
        <v>0.07199999999999999</v>
      </c>
      <c r="S4017">
        <f>IMAGE("https://mitra.stanford.edu/kundaje/oak/projects/neuro-variants/variant_position/credible/roussos_2024/variant_figures/roussos_2024.adolescence.Astrocyte/rs11136313_count_position.png",4,220,900)</f>
        <v/>
      </c>
      <c r="T4017">
        <f>IMAGE("https://mitra.stanford.edu/kundaje/oak/projects/neuro-variants/variant_position/credible/roussos_2024/variant_figures/roussos_2024.adolescence.Astrocyte/rs11136313_profile_position.png",4,220,900)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0.327863962</v>
      </c>
      <c r="G4018" t="n">
        <v>0.0050843581390886</v>
      </c>
      <c r="H4018" t="n">
        <v>0.0407012764253227</v>
      </c>
      <c r="I4018" t="n">
        <v>0.0091712534691151</v>
      </c>
      <c r="J4018" t="n">
        <v>0.3416750734355992</v>
      </c>
      <c r="K4018" t="n">
        <v>0.1127036305487647</v>
      </c>
      <c r="L4018" t="b">
        <v>1</v>
      </c>
      <c r="M4018" t="b">
        <v>1</v>
      </c>
      <c r="N4018" t="inlineStr">
        <is>
          <t>alt</t>
        </is>
      </c>
      <c r="O4018" t="n">
        <v>-40</v>
      </c>
      <c r="P4018" t="n">
        <v>0.00946</v>
      </c>
      <c r="Q4018" t="n">
        <v>60</v>
      </c>
      <c r="R4018" t="n">
        <v>0.10645</v>
      </c>
      <c r="S4018">
        <f>IMAGE("https://mitra.stanford.edu/kundaje/oak/projects/neuro-variants/variant_position/credible/roussos_2024/variant_figures/roussos_2024.adolescence.Astrocyte/rs10756010_count_position.png",4,220,900)</f>
        <v/>
      </c>
      <c r="T4018">
        <f>IMAGE("https://mitra.stanford.edu/kundaje/oak/projects/neuro-variants/variant_position/credible/roussos_2024/variant_figures/roussos_2024.adolescence.Astrocyte/rs10756010_profile_position.png",4,220,900)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0.0895580014</v>
      </c>
      <c r="G4019" t="n">
        <v>0.1342227911713965</v>
      </c>
      <c r="H4019" t="n">
        <v>0.0436584600598013</v>
      </c>
      <c r="I4019" t="n">
        <v>0.0068106286959597</v>
      </c>
      <c r="J4019" t="n">
        <v>0.2555944574666943</v>
      </c>
      <c r="K4019" t="n">
        <v>0.1615553294924969</v>
      </c>
      <c r="L4019" t="b">
        <v>1</v>
      </c>
      <c r="M4019" t="b">
        <v>1</v>
      </c>
      <c r="N4019" t="inlineStr">
        <is>
          <t>alt</t>
        </is>
      </c>
      <c r="O4019" t="n">
        <v>-95</v>
      </c>
      <c r="P4019" t="n">
        <v>0.0166</v>
      </c>
      <c r="Q4019" t="n">
        <v>-35</v>
      </c>
      <c r="R4019" t="n">
        <v>0.09814000000000001</v>
      </c>
      <c r="S4019">
        <f>IMAGE("https://mitra.stanford.edu/kundaje/oak/projects/neuro-variants/variant_position/credible/roussos_2024/variant_figures/roussos_2024.adolescence.Astrocyte/rs10958968_count_position.png",4,220,900)</f>
        <v/>
      </c>
      <c r="T4019">
        <f>IMAGE("https://mitra.stanford.edu/kundaje/oak/projects/neuro-variants/variant_position/credible/roussos_2024/variant_figures/roussos_2024.adolescence.Astrocyte/rs10958968_profile_position.png",4,220,900)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-0.0836533654</v>
      </c>
      <c r="G4020" t="n">
        <v>0.1116360491818271</v>
      </c>
      <c r="H4020" t="n">
        <v>0.0368804681153307</v>
      </c>
      <c r="I4020" t="n">
        <v>0.0137188210011311</v>
      </c>
      <c r="J4020" t="n">
        <v>0.0008063080437942</v>
      </c>
      <c r="K4020" t="n">
        <v>0.8934234554768257</v>
      </c>
      <c r="L4020" t="b">
        <v>0</v>
      </c>
      <c r="M4020" t="b">
        <v>0</v>
      </c>
      <c r="N4020" t="inlineStr">
        <is>
          <t>ref</t>
        </is>
      </c>
      <c r="O4020" t="n">
        <v>-10</v>
      </c>
      <c r="P4020" t="n">
        <v>0.00116</v>
      </c>
      <c r="Q4020" t="n">
        <v>0</v>
      </c>
      <c r="R4020" t="n">
        <v>0</v>
      </c>
      <c r="S4020">
        <f>IMAGE("https://mitra.stanford.edu/kundaje/oak/projects/neuro-variants/variant_position/credible/roussos_2024/variant_figures/roussos_2024.adolescence.Astrocyte/rs12237121_count_position.png",4,220,900)</f>
        <v/>
      </c>
      <c r="T4020">
        <f>IMAGE("https://mitra.stanford.edu/kundaje/oak/projects/neuro-variants/variant_position/credible/roussos_2024/variant_figures/roussos_2024.adolescence.Astrocyte/rs12237121_profile_position.png",4,220,900)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0.1403553388</v>
      </c>
      <c r="G4021" t="n">
        <v>0.0431354473249288</v>
      </c>
      <c r="H4021" t="n">
        <v>0.0316940374214569</v>
      </c>
      <c r="I4021" t="n">
        <v>0.0249811115137247</v>
      </c>
      <c r="J4021" t="n">
        <v>0.0048104026347802</v>
      </c>
      <c r="K4021" t="n">
        <v>0.7552111944586574</v>
      </c>
      <c r="L4021" t="b">
        <v>0</v>
      </c>
      <c r="M4021" t="b">
        <v>0</v>
      </c>
      <c r="N4021" t="inlineStr">
        <is>
          <t>alt</t>
        </is>
      </c>
      <c r="O4021" t="n">
        <v>-90</v>
      </c>
      <c r="P4021" t="n">
        <v>0.004173</v>
      </c>
      <c r="Q4021" t="n">
        <v>-65</v>
      </c>
      <c r="R4021" t="n">
        <v>0.06213</v>
      </c>
      <c r="S4021">
        <f>IMAGE("https://mitra.stanford.edu/kundaje/oak/projects/neuro-variants/variant_position/credible/roussos_2024/variant_figures/roussos_2024.adolescence.Astrocyte/rs7032426_count_position.png",4,220,900)</f>
        <v/>
      </c>
      <c r="T4021">
        <f>IMAGE("https://mitra.stanford.edu/kundaje/oak/projects/neuro-variants/variant_position/credible/roussos_2024/variant_figures/roussos_2024.adolescence.Astrocyte/rs7032426_profile_position.png",4,220,900)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0.0279752849999999</v>
      </c>
      <c r="G4022" t="n">
        <v>0.3611688118623091</v>
      </c>
      <c r="H4022" t="n">
        <v>0.0275609730574642</v>
      </c>
      <c r="I4022" t="n">
        <v>0.0439262792236175</v>
      </c>
      <c r="J4022" t="n">
        <v>0.0004287452155594</v>
      </c>
      <c r="K4022" t="n">
        <v>0.9307716094295836</v>
      </c>
      <c r="L4022" t="b">
        <v>0</v>
      </c>
      <c r="M4022" t="b">
        <v>0</v>
      </c>
      <c r="N4022" t="inlineStr">
        <is>
          <t>alt</t>
        </is>
      </c>
      <c r="O4022" t="n">
        <v>-35</v>
      </c>
      <c r="P4022" t="n">
        <v>0.006805</v>
      </c>
      <c r="Q4022" t="n">
        <v>-25</v>
      </c>
      <c r="R4022" t="n">
        <v>0.02527</v>
      </c>
      <c r="S4022">
        <f>IMAGE("https://mitra.stanford.edu/kundaje/oak/projects/neuro-variants/variant_position/credible/roussos_2024/variant_figures/roussos_2024.adolescence.Astrocyte/rs1322146_count_position.png",4,220,900)</f>
        <v/>
      </c>
      <c r="T4022">
        <f>IMAGE("https://mitra.stanford.edu/kundaje/oak/projects/neuro-variants/variant_position/credible/roussos_2024/variant_figures/roussos_2024.adolescence.Astrocyte/rs1322146_profile_position.png",4,220,900)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-0.032875148</v>
      </c>
      <c r="G4023" t="n">
        <v>0.4155914709018158</v>
      </c>
      <c r="H4023" t="n">
        <v>0.0139851752709072</v>
      </c>
      <c r="I4023" t="n">
        <v>0.3891379312296991</v>
      </c>
      <c r="J4023" t="n">
        <v>0.0034655668634839</v>
      </c>
      <c r="K4023" t="n">
        <v>0.7828081117705291</v>
      </c>
      <c r="L4023" t="b">
        <v>0</v>
      </c>
      <c r="M4023" t="b">
        <v>0</v>
      </c>
      <c r="N4023" t="inlineStr">
        <is>
          <t>ref</t>
        </is>
      </c>
      <c r="O4023" t="n">
        <v>-85</v>
      </c>
      <c r="P4023" t="n">
        <v>0.009050000000000001</v>
      </c>
      <c r="Q4023" t="n">
        <v>100</v>
      </c>
      <c r="R4023" t="n">
        <v>0.4158</v>
      </c>
      <c r="S4023">
        <f>IMAGE("https://mitra.stanford.edu/kundaje/oak/projects/neuro-variants/variant_position/credible/roussos_2024/variant_figures/roussos_2024.adolescence.Astrocyte/rs686870_count_position.png",4,220,900)</f>
        <v/>
      </c>
      <c r="T4023">
        <f>IMAGE("https://mitra.stanford.edu/kundaje/oak/projects/neuro-variants/variant_position/credible/roussos_2024/variant_figures/roussos_2024.adolescence.Astrocyte/rs686870_profile_position.png",4,220,900)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0.0069154773</v>
      </c>
      <c r="G4024" t="n">
        <v>0.7655817156004812</v>
      </c>
      <c r="H4024" t="n">
        <v>0.0097918633409979</v>
      </c>
      <c r="I4024" t="n">
        <v>0.7378854557156279</v>
      </c>
      <c r="J4024" t="n">
        <v>0.1658991781147078</v>
      </c>
      <c r="K4024" t="n">
        <v>0.2385931630286202</v>
      </c>
      <c r="L4024" t="b">
        <v>0</v>
      </c>
      <c r="M4024" t="b">
        <v>0</v>
      </c>
      <c r="N4024" t="inlineStr">
        <is>
          <t>alt</t>
        </is>
      </c>
      <c r="O4024" t="n">
        <v>-100</v>
      </c>
      <c r="P4024" t="n">
        <v>0.02863</v>
      </c>
      <c r="Q4024" t="n">
        <v>-100</v>
      </c>
      <c r="R4024" t="n">
        <v>0.6123</v>
      </c>
      <c r="S4024">
        <f>IMAGE("https://mitra.stanford.edu/kundaje/oak/projects/neuro-variants/variant_position/credible/roussos_2024/variant_figures/roussos_2024.adolescence.Astrocyte/rs1434479_count_position.png",4,220,900)</f>
        <v/>
      </c>
      <c r="T4024">
        <f>IMAGE("https://mitra.stanford.edu/kundaje/oak/projects/neuro-variants/variant_position/credible/roussos_2024/variant_figures/roussos_2024.adolescence.Astrocyte/rs1434479_profile_position.png",4,220,900)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0.1160580426</v>
      </c>
      <c r="G4025" t="n">
        <v>0.0634723852234125</v>
      </c>
      <c r="H4025" t="n">
        <v>0.0172563844716156</v>
      </c>
      <c r="I4025" t="n">
        <v>0.2227501908481695</v>
      </c>
      <c r="J4025" t="n">
        <v>0.1049305699789335</v>
      </c>
      <c r="K4025" t="n">
        <v>0.3258933101249462</v>
      </c>
      <c r="L4025" t="b">
        <v>0</v>
      </c>
      <c r="M4025" t="b">
        <v>0</v>
      </c>
      <c r="N4025" t="inlineStr">
        <is>
          <t>alt</t>
        </is>
      </c>
      <c r="O4025" t="n">
        <v>-80</v>
      </c>
      <c r="P4025" t="n">
        <v>0.02109</v>
      </c>
      <c r="Q4025" t="n">
        <v>-80</v>
      </c>
      <c r="R4025" t="n">
        <v>0.1836</v>
      </c>
      <c r="S4025">
        <f>IMAGE("https://mitra.stanford.edu/kundaje/oak/projects/neuro-variants/variant_position/credible/roussos_2024/variant_figures/roussos_2024.adolescence.Astrocyte/rs10967473_count_position.png",4,220,900)</f>
        <v/>
      </c>
      <c r="T4025">
        <f>IMAGE("https://mitra.stanford.edu/kundaje/oak/projects/neuro-variants/variant_position/credible/roussos_2024/variant_figures/roussos_2024.adolescence.Astrocyte/rs10967473_profile_position.png",4,220,900)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0.19652698</v>
      </c>
      <c r="G4026" t="n">
        <v>0.019589821670573</v>
      </c>
      <c r="H4026" t="n">
        <v>0.0225949628333308</v>
      </c>
      <c r="I4026" t="n">
        <v>0.0967666748349177</v>
      </c>
      <c r="J4026" t="n">
        <v>0.039064771682046</v>
      </c>
      <c r="K4026" t="n">
        <v>0.4888180275958698</v>
      </c>
      <c r="L4026" t="b">
        <v>1</v>
      </c>
      <c r="M4026" t="b">
        <v>0</v>
      </c>
      <c r="N4026" t="inlineStr">
        <is>
          <t>alt</t>
        </is>
      </c>
      <c r="O4026" t="n">
        <v>55</v>
      </c>
      <c r="P4026" t="n">
        <v>0.01134</v>
      </c>
      <c r="Q4026" t="n">
        <v>60</v>
      </c>
      <c r="R4026" t="n">
        <v>0.1495</v>
      </c>
      <c r="S4026">
        <f>IMAGE("https://mitra.stanford.edu/kundaje/oak/projects/neuro-variants/variant_position/credible/roussos_2024/variant_figures/roussos_2024.adolescence.Astrocyte/rs7865569_count_position.png",4,220,900)</f>
        <v/>
      </c>
      <c r="T4026">
        <f>IMAGE("https://mitra.stanford.edu/kundaje/oak/projects/neuro-variants/variant_position/credible/roussos_2024/variant_figures/roussos_2024.adolescence.Astrocyte/rs7865569_profile_position.png",4,220,900)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-0.108288992</v>
      </c>
      <c r="G4027" t="n">
        <v>0.0689343076548693</v>
      </c>
      <c r="H4027" t="n">
        <v>0.0179056127266319</v>
      </c>
      <c r="I4027" t="n">
        <v>0.1957154569692095</v>
      </c>
      <c r="J4027" t="n">
        <v>0.0012239266534135</v>
      </c>
      <c r="K4027" t="n">
        <v>0.8595014639394345</v>
      </c>
      <c r="L4027" t="b">
        <v>0</v>
      </c>
      <c r="M4027" t="b">
        <v>0</v>
      </c>
      <c r="N4027" t="inlineStr">
        <is>
          <t>ref</t>
        </is>
      </c>
      <c r="O4027" t="n">
        <v>-50</v>
      </c>
      <c r="P4027" t="n">
        <v>0.01297</v>
      </c>
      <c r="Q4027" t="n">
        <v>-60</v>
      </c>
      <c r="R4027" t="n">
        <v>0.0668</v>
      </c>
      <c r="S4027">
        <f>IMAGE("https://mitra.stanford.edu/kundaje/oak/projects/neuro-variants/variant_position/credible/roussos_2024/variant_figures/roussos_2024.adolescence.Astrocyte/rs10972866_count_position.png",4,220,900)</f>
        <v/>
      </c>
      <c r="T4027">
        <f>IMAGE("https://mitra.stanford.edu/kundaje/oak/projects/neuro-variants/variant_position/credible/roussos_2024/variant_figures/roussos_2024.adolescence.Astrocyte/rs10972866_profile_position.png",4,220,900)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-0.233884896</v>
      </c>
      <c r="G4028" t="n">
        <v>0.0157492083955287</v>
      </c>
      <c r="H4028" t="n">
        <v>0.0374116954610228</v>
      </c>
      <c r="I4028" t="n">
        <v>0.0130498248887275</v>
      </c>
      <c r="J4028" t="n">
        <v>0.0204202889950449</v>
      </c>
      <c r="K4028" t="n">
        <v>0.5681377889868513</v>
      </c>
      <c r="L4028" t="b">
        <v>1</v>
      </c>
      <c r="M4028" t="b">
        <v>0</v>
      </c>
      <c r="N4028" t="inlineStr">
        <is>
          <t>ref</t>
        </is>
      </c>
      <c r="O4028" t="n">
        <v>5</v>
      </c>
      <c r="P4028" t="n">
        <v>0.000702</v>
      </c>
      <c r="Q4028" t="n">
        <v>30</v>
      </c>
      <c r="R4028" t="n">
        <v>0.02612</v>
      </c>
      <c r="S4028">
        <f>IMAGE("https://mitra.stanford.edu/kundaje/oak/projects/neuro-variants/variant_position/credible/roussos_2024/variant_figures/roussos_2024.adolescence.Astrocyte/rs4144593_count_position.png",4,220,900)</f>
        <v/>
      </c>
      <c r="T4028">
        <f>IMAGE("https://mitra.stanford.edu/kundaje/oak/projects/neuro-variants/variant_position/credible/roussos_2024/variant_figures/roussos_2024.adolescence.Astrocyte/rs4144593_profile_position.png",4,220,900)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-0.212930714</v>
      </c>
      <c r="G4029" t="n">
        <v>0.0174721369741314</v>
      </c>
      <c r="H4029" t="n">
        <v>0.0327927591486433</v>
      </c>
      <c r="I4029" t="n">
        <v>0.0270836078632148</v>
      </c>
      <c r="J4029" t="n">
        <v>0.0446636797911164</v>
      </c>
      <c r="K4029" t="n">
        <v>0.455345475403718</v>
      </c>
      <c r="L4029" t="b">
        <v>1</v>
      </c>
      <c r="M4029" t="b">
        <v>0</v>
      </c>
      <c r="N4029" t="inlineStr">
        <is>
          <t>ref</t>
        </is>
      </c>
      <c r="O4029" t="n">
        <v>20</v>
      </c>
      <c r="P4029" t="n">
        <v>0.003479</v>
      </c>
      <c r="Q4029" t="n">
        <v>45</v>
      </c>
      <c r="R4029" t="n">
        <v>0.04834</v>
      </c>
      <c r="S4029">
        <f>IMAGE("https://mitra.stanford.edu/kundaje/oak/projects/neuro-variants/variant_position/credible/roussos_2024/variant_figures/roussos_2024.adolescence.Astrocyte/rs10814385_count_position.png",4,220,900)</f>
        <v/>
      </c>
      <c r="T4029">
        <f>IMAGE("https://mitra.stanford.edu/kundaje/oak/projects/neuro-variants/variant_position/credible/roussos_2024/variant_figures/roussos_2024.adolescence.Astrocyte/rs10814385_profile_position.png",4,220,900)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0.01128558998</v>
      </c>
      <c r="G4030" t="n">
        <v>0.6344369794817654</v>
      </c>
      <c r="H4030" t="n">
        <v>0.0218304054117849</v>
      </c>
      <c r="I4030" t="n">
        <v>0.1017056785115592</v>
      </c>
      <c r="J4030" t="n">
        <v>0.09549891701035509</v>
      </c>
      <c r="K4030" t="n">
        <v>0.332132159107534</v>
      </c>
      <c r="L4030" t="b">
        <v>0</v>
      </c>
      <c r="M4030" t="b">
        <v>0</v>
      </c>
      <c r="N4030" t="inlineStr">
        <is>
          <t>alt</t>
        </is>
      </c>
      <c r="O4030" t="n">
        <v>-40</v>
      </c>
      <c r="P4030" t="n">
        <v>0.008330000000000001</v>
      </c>
      <c r="Q4030" t="n">
        <v>-30</v>
      </c>
      <c r="R4030" t="n">
        <v>0.1169</v>
      </c>
      <c r="S4030">
        <f>IMAGE("https://mitra.stanford.edu/kundaje/oak/projects/neuro-variants/variant_position/credible/roussos_2024/variant_figures/roussos_2024.adolescence.Astrocyte/rs2483657_count_position.png",4,220,900)</f>
        <v/>
      </c>
      <c r="T4030">
        <f>IMAGE("https://mitra.stanford.edu/kundaje/oak/projects/neuro-variants/variant_position/credible/roussos_2024/variant_figures/roussos_2024.adolescence.Astrocyte/rs2483657_profile_position.png",4,220,900)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-0.0313868755999999</v>
      </c>
      <c r="G4031" t="n">
        <v>0.4064768525945843</v>
      </c>
      <c r="H4031" t="n">
        <v>0.0521151955486727</v>
      </c>
      <c r="I4031" t="n">
        <v>0.0032758828227195</v>
      </c>
      <c r="J4031" t="n">
        <v>0.0055202800937601</v>
      </c>
      <c r="K4031" t="n">
        <v>0.7258993858987358</v>
      </c>
      <c r="L4031" t="b">
        <v>0</v>
      </c>
      <c r="M4031" t="b">
        <v>0</v>
      </c>
      <c r="N4031" t="inlineStr">
        <is>
          <t>ref</t>
        </is>
      </c>
      <c r="O4031" t="n">
        <v>-100</v>
      </c>
      <c r="P4031" t="n">
        <v>0.02158</v>
      </c>
      <c r="Q4031" t="n">
        <v>-60</v>
      </c>
      <c r="R4031" t="n">
        <v>0.05627</v>
      </c>
      <c r="S4031">
        <f>IMAGE("https://mitra.stanford.edu/kundaje/oak/projects/neuro-variants/variant_position/credible/roussos_2024/variant_figures/roussos_2024.adolescence.Astrocyte/rs4446808_count_position.png",4,220,900)</f>
        <v/>
      </c>
      <c r="T4031">
        <f>IMAGE("https://mitra.stanford.edu/kundaje/oak/projects/neuro-variants/variant_position/credible/roussos_2024/variant_figures/roussos_2024.adolescence.Astrocyte/rs4446808_profile_position.png",4,220,900)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-0.014418218512</v>
      </c>
      <c r="G4032" t="n">
        <v>0.6416528465094593</v>
      </c>
      <c r="H4032" t="n">
        <v>0.008286992874450101</v>
      </c>
      <c r="I4032" t="n">
        <v>0.902911730290789</v>
      </c>
      <c r="J4032" t="n">
        <v>0.0278142895291219</v>
      </c>
      <c r="K4032" t="n">
        <v>0.5293541999848749</v>
      </c>
      <c r="L4032" t="b">
        <v>0</v>
      </c>
      <c r="M4032" t="b">
        <v>0</v>
      </c>
      <c r="N4032" t="inlineStr">
        <is>
          <t>ref</t>
        </is>
      </c>
      <c r="O4032" t="n">
        <v>95</v>
      </c>
      <c r="P4032" t="n">
        <v>0.007088</v>
      </c>
      <c r="Q4032" t="n">
        <v>95</v>
      </c>
      <c r="R4032" t="n">
        <v>0.1447</v>
      </c>
      <c r="S4032">
        <f>IMAGE("https://mitra.stanford.edu/kundaje/oak/projects/neuro-variants/variant_position/credible/roussos_2024/variant_figures/roussos_2024.adolescence.Astrocyte/rs6476556_count_position.png",4,220,900)</f>
        <v/>
      </c>
      <c r="T4032">
        <f>IMAGE("https://mitra.stanford.edu/kundaje/oak/projects/neuro-variants/variant_position/credible/roussos_2024/variant_figures/roussos_2024.adolescence.Astrocyte/rs6476556_profile_position.png",4,220,900)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0.0465583984</v>
      </c>
      <c r="G4033" t="n">
        <v>0.1427869674947587</v>
      </c>
      <c r="H4033" t="n">
        <v>0.0129724601848224</v>
      </c>
      <c r="I4033" t="n">
        <v>0.4629594574781401</v>
      </c>
      <c r="J4033" t="n">
        <v>0.09162685814319189</v>
      </c>
      <c r="K4033" t="n">
        <v>0.3527175777397235</v>
      </c>
      <c r="L4033" t="b">
        <v>0</v>
      </c>
      <c r="M4033" t="b">
        <v>0</v>
      </c>
      <c r="N4033" t="inlineStr">
        <is>
          <t>alt</t>
        </is>
      </c>
      <c r="O4033" t="n">
        <v>-80</v>
      </c>
      <c r="P4033" t="n">
        <v>0.01611</v>
      </c>
      <c r="Q4033" t="n">
        <v>-80</v>
      </c>
      <c r="R4033" t="n">
        <v>0.311</v>
      </c>
      <c r="S4033">
        <f>IMAGE("https://mitra.stanford.edu/kundaje/oak/projects/neuro-variants/variant_position/credible/roussos_2024/variant_figures/roussos_2024.adolescence.Astrocyte/rs7856743_count_position.png",4,220,900)</f>
        <v/>
      </c>
      <c r="T4033">
        <f>IMAGE("https://mitra.stanford.edu/kundaje/oak/projects/neuro-variants/variant_position/credible/roussos_2024/variant_figures/roussos_2024.adolescence.Astrocyte/rs7856743_profile_position.png",4,220,900)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-0.0117386249</v>
      </c>
      <c r="G4034" t="n">
        <v>0.7000163927072143</v>
      </c>
      <c r="H4034" t="n">
        <v>0.0146577755680019</v>
      </c>
      <c r="I4034" t="n">
        <v>0.3456023755033245</v>
      </c>
      <c r="J4034" t="n">
        <v>0.1090266445123579</v>
      </c>
      <c r="K4034" t="n">
        <v>0.3079822140908153</v>
      </c>
      <c r="L4034" t="b">
        <v>0</v>
      </c>
      <c r="M4034" t="b">
        <v>0</v>
      </c>
      <c r="N4034" t="inlineStr">
        <is>
          <t>ref</t>
        </is>
      </c>
      <c r="O4034" t="n">
        <v>30</v>
      </c>
      <c r="P4034" t="n">
        <v>0.005615</v>
      </c>
      <c r="Q4034" t="n">
        <v>30</v>
      </c>
      <c r="R4034" t="n">
        <v>0.3708</v>
      </c>
      <c r="S4034">
        <f>IMAGE("https://mitra.stanford.edu/kundaje/oak/projects/neuro-variants/variant_position/credible/roussos_2024/variant_figures/roussos_2024.adolescence.Astrocyte/rs11138693_count_position.png",4,220,900)</f>
        <v/>
      </c>
      <c r="T4034">
        <f>IMAGE("https://mitra.stanford.edu/kundaje/oak/projects/neuro-variants/variant_position/credible/roussos_2024/variant_figures/roussos_2024.adolescence.Astrocyte/rs11138693_profile_position.png",4,220,900)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-0.008202672580000001</v>
      </c>
      <c r="G4035" t="n">
        <v>0.7976624571861671</v>
      </c>
      <c r="H4035" t="n">
        <v>0.0196727861704409</v>
      </c>
      <c r="I4035" t="n">
        <v>0.1459976959345479</v>
      </c>
      <c r="J4035" t="n">
        <v>0.0424672877785359</v>
      </c>
      <c r="K4035" t="n">
        <v>0.467997842879141</v>
      </c>
      <c r="L4035" t="b">
        <v>0</v>
      </c>
      <c r="M4035" t="b">
        <v>0</v>
      </c>
      <c r="N4035" t="inlineStr">
        <is>
          <t>ref</t>
        </is>
      </c>
      <c r="O4035" t="n">
        <v>-100</v>
      </c>
      <c r="P4035" t="n">
        <v>0.003963</v>
      </c>
      <c r="Q4035" t="n">
        <v>100</v>
      </c>
      <c r="R4035" t="n">
        <v>0.04584</v>
      </c>
      <c r="S4035">
        <f>IMAGE("https://mitra.stanford.edu/kundaje/oak/projects/neuro-variants/variant_position/credible/roussos_2024/variant_figures/roussos_2024.adolescence.Astrocyte/rs10867555_count_position.png",4,220,900)</f>
        <v/>
      </c>
      <c r="T4035">
        <f>IMAGE("https://mitra.stanford.edu/kundaje/oak/projects/neuro-variants/variant_position/credible/roussos_2024/variant_figures/roussos_2024.adolescence.Astrocyte/rs10867555_profile_position.png",4,220,900)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-0.0321289788</v>
      </c>
      <c r="G4036" t="n">
        <v>0.3823544470928842</v>
      </c>
      <c r="H4036" t="n">
        <v>0.0097381886119037</v>
      </c>
      <c r="I4036" t="n">
        <v>0.7871303676814184</v>
      </c>
      <c r="J4036" t="n">
        <v>0.007991128386197</v>
      </c>
      <c r="K4036" t="n">
        <v>0.7063319925258579</v>
      </c>
      <c r="L4036" t="b">
        <v>0</v>
      </c>
      <c r="M4036" t="b">
        <v>0</v>
      </c>
      <c r="N4036" t="inlineStr">
        <is>
          <t>ref</t>
        </is>
      </c>
      <c r="O4036" t="n">
        <v>95</v>
      </c>
      <c r="P4036" t="n">
        <v>0.02393</v>
      </c>
      <c r="Q4036" t="n">
        <v>80</v>
      </c>
      <c r="R4036" t="n">
        <v>0.0917</v>
      </c>
      <c r="S4036">
        <f>IMAGE("https://mitra.stanford.edu/kundaje/oak/projects/neuro-variants/variant_position/credible/roussos_2024/variant_figures/roussos_2024.adolescence.Astrocyte/rs11138702_count_position.png",4,220,900)</f>
        <v/>
      </c>
      <c r="T4036">
        <f>IMAGE("https://mitra.stanford.edu/kundaje/oak/projects/neuro-variants/variant_position/credible/roussos_2024/variant_figures/roussos_2024.adolescence.Astrocyte/rs11138702_profile_position.png",4,220,900)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-0.03305654074</v>
      </c>
      <c r="G4037" t="n">
        <v>0.4213582251382711</v>
      </c>
      <c r="H4037" t="n">
        <v>0.0139141548803443</v>
      </c>
      <c r="I4037" t="n">
        <v>0.3919629966187271</v>
      </c>
      <c r="J4037" t="n">
        <v>0.0523313948313205</v>
      </c>
      <c r="K4037" t="n">
        <v>0.4316465515966253</v>
      </c>
      <c r="L4037" t="b">
        <v>0</v>
      </c>
      <c r="M4037" t="b">
        <v>0</v>
      </c>
      <c r="N4037" t="inlineStr">
        <is>
          <t>ref</t>
        </is>
      </c>
      <c r="O4037" t="n">
        <v>-90</v>
      </c>
      <c r="P4037" t="n">
        <v>0.001442</v>
      </c>
      <c r="Q4037" t="n">
        <v>-40</v>
      </c>
      <c r="R4037" t="n">
        <v>0.02484</v>
      </c>
      <c r="S4037">
        <f>IMAGE("https://mitra.stanford.edu/kundaje/oak/projects/neuro-variants/variant_position/credible/roussos_2024/variant_figures/roussos_2024.adolescence.Astrocyte/rs145585805_count_position.png",4,220,900)</f>
        <v/>
      </c>
      <c r="T4037">
        <f>IMAGE("https://mitra.stanford.edu/kundaje/oak/projects/neuro-variants/variant_position/credible/roussos_2024/variant_figures/roussos_2024.adolescence.Astrocyte/rs145585805_profile_position.png",4,220,900)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-0.0313382594</v>
      </c>
      <c r="G4038" t="n">
        <v>0.251914589398942</v>
      </c>
      <c r="H4038" t="n">
        <v>0.0220057416305618</v>
      </c>
      <c r="I4038" t="n">
        <v>0.0987808084399739</v>
      </c>
      <c r="J4038" t="n">
        <v>0.0323672966798207</v>
      </c>
      <c r="K4038" t="n">
        <v>0.5107870075649439</v>
      </c>
      <c r="L4038" t="b">
        <v>0</v>
      </c>
      <c r="M4038" t="b">
        <v>0</v>
      </c>
      <c r="N4038" t="inlineStr">
        <is>
          <t>ref</t>
        </is>
      </c>
      <c r="O4038" t="n">
        <v>-65</v>
      </c>
      <c r="P4038" t="n">
        <v>0.0152</v>
      </c>
      <c r="Q4038" t="n">
        <v>-50</v>
      </c>
      <c r="R4038" t="n">
        <v>0.0653</v>
      </c>
      <c r="S4038">
        <f>IMAGE("https://mitra.stanford.edu/kundaje/oak/projects/neuro-variants/variant_position/credible/roussos_2024/variant_figures/roussos_2024.adolescence.Astrocyte/rs7853639_count_position.png",4,220,900)</f>
        <v/>
      </c>
      <c r="T4038">
        <f>IMAGE("https://mitra.stanford.edu/kundaje/oak/projects/neuro-variants/variant_position/credible/roussos_2024/variant_figures/roussos_2024.adolescence.Astrocyte/rs7853639_profile_position.png",4,220,900)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-0.125004252</v>
      </c>
      <c r="G4039" t="n">
        <v>0.0529840382224688</v>
      </c>
      <c r="H4039" t="n">
        <v>0.0170913266039606</v>
      </c>
      <c r="I4039" t="n">
        <v>0.2310802937125498</v>
      </c>
      <c r="J4039" t="n">
        <v>0.0116354627184523</v>
      </c>
      <c r="K4039" t="n">
        <v>0.645441463115932</v>
      </c>
      <c r="L4039" t="b">
        <v>0</v>
      </c>
      <c r="M4039" t="b">
        <v>0</v>
      </c>
      <c r="N4039" t="inlineStr">
        <is>
          <t>ref</t>
        </is>
      </c>
      <c r="O4039" t="n">
        <v>60</v>
      </c>
      <c r="P4039" t="n">
        <v>0.013306</v>
      </c>
      <c r="Q4039" t="n">
        <v>60</v>
      </c>
      <c r="R4039" t="n">
        <v>0.06042</v>
      </c>
      <c r="S4039">
        <f>IMAGE("https://mitra.stanford.edu/kundaje/oak/projects/neuro-variants/variant_position/credible/roussos_2024/variant_figures/roussos_2024.adolescence.Astrocyte/rs11139500_count_position.png",4,220,900)</f>
        <v/>
      </c>
      <c r="T4039">
        <f>IMAGE("https://mitra.stanford.edu/kundaje/oak/projects/neuro-variants/variant_position/credible/roussos_2024/variant_figures/roussos_2024.adolescence.Astrocyte/rs11139500_profile_position.png",4,220,900)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0.1187499123999999</v>
      </c>
      <c r="G4040" t="n">
        <v>0.07075686965354849</v>
      </c>
      <c r="H4040" t="n">
        <v>0.0189615104076817</v>
      </c>
      <c r="I4040" t="n">
        <v>0.1692052480470837</v>
      </c>
      <c r="J4040" t="n">
        <v>0.1011942557042399</v>
      </c>
      <c r="K4040" t="n">
        <v>0.3210523510455406</v>
      </c>
      <c r="L4040" t="b">
        <v>0</v>
      </c>
      <c r="M4040" t="b">
        <v>0</v>
      </c>
      <c r="N4040" t="inlineStr">
        <is>
          <t>alt</t>
        </is>
      </c>
      <c r="O4040" t="n">
        <v>-30</v>
      </c>
      <c r="P4040" t="n">
        <v>0.02222</v>
      </c>
      <c r="Q4040" t="n">
        <v>65</v>
      </c>
      <c r="R4040" t="n">
        <v>0.1438</v>
      </c>
      <c r="S4040">
        <f>IMAGE("https://mitra.stanford.edu/kundaje/oak/projects/neuro-variants/variant_position/credible/roussos_2024/variant_figures/roussos_2024.adolescence.Astrocyte/rs1409880_count_position.png",4,220,900)</f>
        <v/>
      </c>
      <c r="T4040">
        <f>IMAGE("https://mitra.stanford.edu/kundaje/oak/projects/neuro-variants/variant_position/credible/roussos_2024/variant_figures/roussos_2024.adolescence.Astrocyte/rs1409880_profile_position.png",4,220,900)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-0.138333984</v>
      </c>
      <c r="G4041" t="n">
        <v>0.0429815519072456</v>
      </c>
      <c r="H4041" t="n">
        <v>0.0205937036666755</v>
      </c>
      <c r="I4041" t="n">
        <v>0.1248218170464576</v>
      </c>
      <c r="J4041" t="n">
        <v>0.0169428537518914</v>
      </c>
      <c r="K4041" t="n">
        <v>0.5924173174640184</v>
      </c>
      <c r="L4041" t="b">
        <v>0</v>
      </c>
      <c r="M4041" t="b">
        <v>0</v>
      </c>
      <c r="N4041" t="inlineStr">
        <is>
          <t>ref</t>
        </is>
      </c>
      <c r="O4041" t="n">
        <v>45</v>
      </c>
      <c r="P4041" t="n">
        <v>0.02214</v>
      </c>
      <c r="Q4041" t="n">
        <v>70</v>
      </c>
      <c r="R4041" t="n">
        <v>0.2003</v>
      </c>
      <c r="S4041">
        <f>IMAGE("https://mitra.stanford.edu/kundaje/oak/projects/neuro-variants/variant_position/credible/roussos_2024/variant_figures/roussos_2024.adolescence.Astrocyte/rs2788116_count_position.png",4,220,900)</f>
        <v/>
      </c>
      <c r="T4041">
        <f>IMAGE("https://mitra.stanford.edu/kundaje/oak/projects/neuro-variants/variant_position/credible/roussos_2024/variant_figures/roussos_2024.adolescence.Astrocyte/rs2788116_profile_position.png",4,220,900)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0.1437054532</v>
      </c>
      <c r="G4042" t="n">
        <v>0.0427893290659144</v>
      </c>
      <c r="H4042" t="n">
        <v>0.0223064180012771</v>
      </c>
      <c r="I4042" t="n">
        <v>0.0961055344107451</v>
      </c>
      <c r="J4042" t="n">
        <v>0.0046049313117526</v>
      </c>
      <c r="K4042" t="n">
        <v>0.7626636544713766</v>
      </c>
      <c r="L4042" t="b">
        <v>0</v>
      </c>
      <c r="M4042" t="b">
        <v>0</v>
      </c>
      <c r="N4042" t="inlineStr">
        <is>
          <t>alt</t>
        </is>
      </c>
      <c r="O4042" t="n">
        <v>-85</v>
      </c>
      <c r="P4042" t="n">
        <v>0.004875</v>
      </c>
      <c r="Q4042" t="n">
        <v>-75</v>
      </c>
      <c r="R4042" t="n">
        <v>0.1582</v>
      </c>
      <c r="S4042">
        <f>IMAGE("https://mitra.stanford.edu/kundaje/oak/projects/neuro-variants/variant_position/credible/roussos_2024/variant_figures/roussos_2024.adolescence.Astrocyte/rs2767717_count_position.png",4,220,900)</f>
        <v/>
      </c>
      <c r="T4042">
        <f>IMAGE("https://mitra.stanford.edu/kundaje/oak/projects/neuro-variants/variant_position/credible/roussos_2024/variant_figures/roussos_2024.adolescence.Astrocyte/rs2767717_profile_position.png",4,220,900)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-0.0612457126</v>
      </c>
      <c r="G4043" t="n">
        <v>0.1940551910857116</v>
      </c>
      <c r="H4043" t="n">
        <v>0.0153028316523623</v>
      </c>
      <c r="I4043" t="n">
        <v>0.3089942414091897</v>
      </c>
      <c r="J4043" t="n">
        <v>4.895706613654572e-05</v>
      </c>
      <c r="K4043" t="n">
        <v>0.9942716869332284</v>
      </c>
      <c r="L4043" t="b">
        <v>0</v>
      </c>
      <c r="M4043" t="b">
        <v>0</v>
      </c>
      <c r="N4043" t="inlineStr">
        <is>
          <t>ref</t>
        </is>
      </c>
      <c r="O4043" t="n">
        <v>100</v>
      </c>
      <c r="P4043" t="n">
        <v>0.00773</v>
      </c>
      <c r="Q4043" t="n">
        <v>100</v>
      </c>
      <c r="R4043" t="n">
        <v>0.068</v>
      </c>
      <c r="S4043">
        <f>IMAGE("https://mitra.stanford.edu/kundaje/oak/projects/neuro-variants/variant_position/credible/roussos_2024/variant_figures/roussos_2024.adolescence.Astrocyte/rs2767715_count_position.png",4,220,900)</f>
        <v/>
      </c>
      <c r="T4043">
        <f>IMAGE("https://mitra.stanford.edu/kundaje/oak/projects/neuro-variants/variant_position/credible/roussos_2024/variant_figures/roussos_2024.adolescence.Astrocyte/rs2767715_profile_position.png",4,220,900)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0.00673468328</v>
      </c>
      <c r="G4044" t="n">
        <v>0.5100504161081112</v>
      </c>
      <c r="H4044" t="n">
        <v>0.0095021815335529</v>
      </c>
      <c r="I4044" t="n">
        <v>0.7954922293302652</v>
      </c>
      <c r="J4044" t="n">
        <v>0.017855977212711</v>
      </c>
      <c r="K4044" t="n">
        <v>0.5833693019966428</v>
      </c>
      <c r="L4044" t="b">
        <v>0</v>
      </c>
      <c r="M4044" t="b">
        <v>0</v>
      </c>
      <c r="N4044" t="inlineStr">
        <is>
          <t>alt</t>
        </is>
      </c>
      <c r="O4044" t="n">
        <v>-45</v>
      </c>
      <c r="P4044" t="n">
        <v>0.01262</v>
      </c>
      <c r="Q4044" t="n">
        <v>-70</v>
      </c>
      <c r="R4044" t="n">
        <v>0.1401</v>
      </c>
      <c r="S4044">
        <f>IMAGE("https://mitra.stanford.edu/kundaje/oak/projects/neuro-variants/variant_position/credible/roussos_2024/variant_figures/roussos_2024.adolescence.Astrocyte/rs2767713_count_position.png",4,220,900)</f>
        <v/>
      </c>
      <c r="T4044">
        <f>IMAGE("https://mitra.stanford.edu/kundaje/oak/projects/neuro-variants/variant_position/credible/roussos_2024/variant_figures/roussos_2024.adolescence.Astrocyte/rs2767713_profile_position.png",4,220,900)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-0.0529884192</v>
      </c>
      <c r="G4045" t="n">
        <v>0.1864698954131514</v>
      </c>
      <c r="H4045" t="n">
        <v>0.0118951874580812</v>
      </c>
      <c r="I4045" t="n">
        <v>0.5519547138230224</v>
      </c>
      <c r="J4045" t="n">
        <v>0.0025717295196272</v>
      </c>
      <c r="K4045" t="n">
        <v>0.8185559790922099</v>
      </c>
      <c r="L4045" t="b">
        <v>0</v>
      </c>
      <c r="M4045" t="b">
        <v>0</v>
      </c>
      <c r="N4045" t="inlineStr">
        <is>
          <t>ref</t>
        </is>
      </c>
      <c r="O4045" t="n">
        <v>-80</v>
      </c>
      <c r="P4045" t="n">
        <v>0.00576</v>
      </c>
      <c r="Q4045" t="n">
        <v>0</v>
      </c>
      <c r="R4045" t="n">
        <v>0</v>
      </c>
      <c r="S4045">
        <f>IMAGE("https://mitra.stanford.edu/kundaje/oak/projects/neuro-variants/variant_position/credible/roussos_2024/variant_figures/roussos_2024.adolescence.Astrocyte/rs1933580_count_position.png",4,220,900)</f>
        <v/>
      </c>
      <c r="T4045">
        <f>IMAGE("https://mitra.stanford.edu/kundaje/oak/projects/neuro-variants/variant_position/credible/roussos_2024/variant_figures/roussos_2024.adolescence.Astrocyte/rs1933580_profile_position.png",4,220,900)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0.01123018032</v>
      </c>
      <c r="G4046" t="n">
        <v>0.6487227691454095</v>
      </c>
      <c r="H4046" t="n">
        <v>0.0151961633217851</v>
      </c>
      <c r="I4046" t="n">
        <v>0.313994472931124</v>
      </c>
      <c r="J4046" t="n">
        <v>0.0001016230009197</v>
      </c>
      <c r="K4046" t="n">
        <v>0.9811560426576242</v>
      </c>
      <c r="L4046" t="b">
        <v>0</v>
      </c>
      <c r="M4046" t="b">
        <v>0</v>
      </c>
      <c r="N4046" t="inlineStr">
        <is>
          <t>alt</t>
        </is>
      </c>
      <c r="O4046" t="n">
        <v>-40</v>
      </c>
      <c r="P4046" t="n">
        <v>0.0025</v>
      </c>
      <c r="Q4046" t="n">
        <v>40</v>
      </c>
      <c r="R4046" t="n">
        <v>0.05414</v>
      </c>
      <c r="S4046">
        <f>IMAGE("https://mitra.stanford.edu/kundaje/oak/projects/neuro-variants/variant_position/credible/roussos_2024/variant_figures/roussos_2024.adolescence.Astrocyte/rs1330834_count_position.png",4,220,900)</f>
        <v/>
      </c>
      <c r="T4046">
        <f>IMAGE("https://mitra.stanford.edu/kundaje/oak/projects/neuro-variants/variant_position/credible/roussos_2024/variant_figures/roussos_2024.adolescence.Astrocyte/rs1330834_profile_position.png",4,220,900)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0.0209874963999999</v>
      </c>
      <c r="G4047" t="n">
        <v>0.285921010031041</v>
      </c>
      <c r="H4047" t="n">
        <v>0.0099851619647746</v>
      </c>
      <c r="I4047" t="n">
        <v>0.7604833058512077</v>
      </c>
      <c r="J4047" t="n">
        <v>0.0139542473963741</v>
      </c>
      <c r="K4047" t="n">
        <v>0.6230317926380349</v>
      </c>
      <c r="L4047" t="b">
        <v>0</v>
      </c>
      <c r="M4047" t="b">
        <v>0</v>
      </c>
      <c r="N4047" t="inlineStr">
        <is>
          <t>alt</t>
        </is>
      </c>
      <c r="O4047" t="n">
        <v>-45</v>
      </c>
      <c r="P4047" t="n">
        <v>0.002293</v>
      </c>
      <c r="Q4047" t="n">
        <v>70</v>
      </c>
      <c r="R4047" t="n">
        <v>0.09875</v>
      </c>
      <c r="S4047">
        <f>IMAGE("https://mitra.stanford.edu/kundaje/oak/projects/neuro-variants/variant_position/credible/roussos_2024/variant_figures/roussos_2024.adolescence.Astrocyte/rs4877231_count_position.png",4,220,900)</f>
        <v/>
      </c>
      <c r="T4047">
        <f>IMAGE("https://mitra.stanford.edu/kundaje/oak/projects/neuro-variants/variant_position/credible/roussos_2024/variant_figures/roussos_2024.adolescence.Astrocyte/rs4877231_profile_position.png",4,220,900)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-0.009024225259999999</v>
      </c>
      <c r="G4048" t="n">
        <v>0.7171566252990095</v>
      </c>
      <c r="H4048" t="n">
        <v>0.0102424086240072</v>
      </c>
      <c r="I4048" t="n">
        <v>0.7307533534628443</v>
      </c>
      <c r="J4048" t="n">
        <v>0.0023402961160727</v>
      </c>
      <c r="K4048" t="n">
        <v>0.8222576416027205</v>
      </c>
      <c r="L4048" t="b">
        <v>0</v>
      </c>
      <c r="M4048" t="b">
        <v>0</v>
      </c>
      <c r="N4048" t="inlineStr">
        <is>
          <t>ref</t>
        </is>
      </c>
      <c r="O4048" t="n">
        <v>100</v>
      </c>
      <c r="P4048" t="n">
        <v>0.001984</v>
      </c>
      <c r="Q4048" t="n">
        <v>40</v>
      </c>
      <c r="R4048" t="n">
        <v>0.0428</v>
      </c>
      <c r="S4048">
        <f>IMAGE("https://mitra.stanford.edu/kundaje/oak/projects/neuro-variants/variant_position/credible/roussos_2024/variant_figures/roussos_2024.adolescence.Astrocyte/rs7848263_count_position.png",4,220,900)</f>
        <v/>
      </c>
      <c r="T4048">
        <f>IMAGE("https://mitra.stanford.edu/kundaje/oak/projects/neuro-variants/variant_position/credible/roussos_2024/variant_figures/roussos_2024.adolescence.Astrocyte/rs7848263_profile_position.png",4,220,900)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-0.140644264</v>
      </c>
      <c r="G4049" t="n">
        <v>0.0414232123715561</v>
      </c>
      <c r="H4049" t="n">
        <v>0.0226542660773265</v>
      </c>
      <c r="I4049" t="n">
        <v>0.0903049117118838</v>
      </c>
      <c r="J4049" t="n">
        <v>0.0014657448891789</v>
      </c>
      <c r="K4049" t="n">
        <v>0.877850720111769</v>
      </c>
      <c r="L4049" t="b">
        <v>0</v>
      </c>
      <c r="M4049" t="b">
        <v>0</v>
      </c>
      <c r="N4049" t="inlineStr">
        <is>
          <t>ref</t>
        </is>
      </c>
      <c r="O4049" t="n">
        <v>45</v>
      </c>
      <c r="P4049" t="n">
        <v>0.009259999999999999</v>
      </c>
      <c r="Q4049" t="n">
        <v>45</v>
      </c>
      <c r="R4049" t="n">
        <v>0.0597</v>
      </c>
      <c r="S4049">
        <f>IMAGE("https://mitra.stanford.edu/kundaje/oak/projects/neuro-variants/variant_position/credible/roussos_2024/variant_figures/roussos_2024.adolescence.Astrocyte/rs7020546_count_position.png",4,220,900)</f>
        <v/>
      </c>
      <c r="T4049">
        <f>IMAGE("https://mitra.stanford.edu/kundaje/oak/projects/neuro-variants/variant_position/credible/roussos_2024/variant_figures/roussos_2024.adolescence.Astrocyte/rs7020546_profile_position.png",4,220,900)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-0.0500937189</v>
      </c>
      <c r="G4050" t="n">
        <v>0.2692231016096856</v>
      </c>
      <c r="H4050" t="n">
        <v>0.0126298005490579</v>
      </c>
      <c r="I4050" t="n">
        <v>0.4985935690210874</v>
      </c>
      <c r="J4050" t="n">
        <v>0.0013767320416579</v>
      </c>
      <c r="K4050" t="n">
        <v>0.8669509197721593</v>
      </c>
      <c r="L4050" t="b">
        <v>0</v>
      </c>
      <c r="M4050" t="b">
        <v>0</v>
      </c>
      <c r="N4050" t="inlineStr">
        <is>
          <t>ref</t>
        </is>
      </c>
      <c r="O4050" t="n">
        <v>85</v>
      </c>
      <c r="P4050" t="n">
        <v>0.02245</v>
      </c>
      <c r="Q4050" t="n">
        <v>55</v>
      </c>
      <c r="R4050" t="n">
        <v>0.1074</v>
      </c>
      <c r="S4050">
        <f>IMAGE("https://mitra.stanford.edu/kundaje/oak/projects/neuro-variants/variant_position/credible/roussos_2024/variant_figures/roussos_2024.adolescence.Astrocyte/rs80020015_count_position.png",4,220,900)</f>
        <v/>
      </c>
      <c r="T4050">
        <f>IMAGE("https://mitra.stanford.edu/kundaje/oak/projects/neuro-variants/variant_position/credible/roussos_2024/variant_figures/roussos_2024.adolescence.Astrocyte/rs80020015_profile_position.png",4,220,900)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-0.27709885</v>
      </c>
      <c r="G4051" t="n">
        <v>0.0114159202943982</v>
      </c>
      <c r="H4051" t="n">
        <v>0.0321309215807569</v>
      </c>
      <c r="I4051" t="n">
        <v>0.0334143353083571</v>
      </c>
      <c r="J4051" t="n">
        <v>0.0182787882384357</v>
      </c>
      <c r="K4051" t="n">
        <v>0.6198314294664746</v>
      </c>
      <c r="L4051" t="b">
        <v>1</v>
      </c>
      <c r="M4051" t="b">
        <v>0</v>
      </c>
      <c r="N4051" t="inlineStr">
        <is>
          <t>ref</t>
        </is>
      </c>
      <c r="O4051" t="n">
        <v>5</v>
      </c>
      <c r="P4051" t="n">
        <v>0.0002441</v>
      </c>
      <c r="Q4051" t="n">
        <v>0</v>
      </c>
      <c r="R4051" t="n">
        <v>0</v>
      </c>
      <c r="S4051">
        <f>IMAGE("https://mitra.stanford.edu/kundaje/oak/projects/neuro-variants/variant_position/credible/roussos_2024/variant_figures/roussos_2024.adolescence.Astrocyte/rs10113923_count_position.png",4,220,900)</f>
        <v/>
      </c>
      <c r="T4051">
        <f>IMAGE("https://mitra.stanford.edu/kundaje/oak/projects/neuro-variants/variant_position/credible/roussos_2024/variant_figures/roussos_2024.adolescence.Astrocyte/rs10113923_profile_position.png",4,220,900)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-0.033844546316</v>
      </c>
      <c r="G4052" t="n">
        <v>0.3816586858145068</v>
      </c>
      <c r="H4052" t="n">
        <v>0.012707727745586</v>
      </c>
      <c r="I4052" t="n">
        <v>0.490319529288913</v>
      </c>
      <c r="J4052" t="n">
        <v>0.0021756223481588</v>
      </c>
      <c r="K4052" t="n">
        <v>0.8142419646754009</v>
      </c>
      <c r="L4052" t="b">
        <v>0</v>
      </c>
      <c r="M4052" t="b">
        <v>0</v>
      </c>
      <c r="N4052" t="inlineStr">
        <is>
          <t>ref</t>
        </is>
      </c>
      <c r="O4052" t="n">
        <v>-20</v>
      </c>
      <c r="P4052" t="n">
        <v>0.001343</v>
      </c>
      <c r="Q4052" t="n">
        <v>-20</v>
      </c>
      <c r="R4052" t="n">
        <v>0.02985</v>
      </c>
      <c r="S4052">
        <f>IMAGE("https://mitra.stanford.edu/kundaje/oak/projects/neuro-variants/variant_position/credible/roussos_2024/variant_figures/roussos_2024.adolescence.Astrocyte/rs10116211_count_position.png",4,220,900)</f>
        <v/>
      </c>
      <c r="T4052">
        <f>IMAGE("https://mitra.stanford.edu/kundaje/oak/projects/neuro-variants/variant_position/credible/roussos_2024/variant_figures/roussos_2024.adolescence.Astrocyte/rs10116211_profile_position.png",4,220,900)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-0.0070471956399999</v>
      </c>
      <c r="G4053" t="n">
        <v>0.7534907827121958</v>
      </c>
      <c r="H4053" t="n">
        <v>0.0227787743897268</v>
      </c>
      <c r="I4053" t="n">
        <v>0.0873895692981479</v>
      </c>
      <c r="J4053" t="n">
        <v>0.2267261074681779</v>
      </c>
      <c r="K4053" t="n">
        <v>0.1827171935306769</v>
      </c>
      <c r="L4053" t="b">
        <v>0</v>
      </c>
      <c r="M4053" t="b">
        <v>0</v>
      </c>
      <c r="N4053" t="inlineStr">
        <is>
          <t>ref</t>
        </is>
      </c>
      <c r="O4053" t="n">
        <v>100</v>
      </c>
      <c r="P4053" t="n">
        <v>0.01082</v>
      </c>
      <c r="Q4053" t="n">
        <v>-85</v>
      </c>
      <c r="R4053" t="n">
        <v>0.1627</v>
      </c>
      <c r="S4053">
        <f>IMAGE("https://mitra.stanford.edu/kundaje/oak/projects/neuro-variants/variant_position/credible/roussos_2024/variant_figures/roussos_2024.adolescence.Astrocyte/rs6479482_count_position.png",4,220,900)</f>
        <v/>
      </c>
      <c r="T4053">
        <f>IMAGE("https://mitra.stanford.edu/kundaje/oak/projects/neuro-variants/variant_position/credible/roussos_2024/variant_figures/roussos_2024.adolescence.Astrocyte/rs6479482_profile_position.png",4,220,900)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0.0230306864</v>
      </c>
      <c r="G4054" t="n">
        <v>0.4508695595878038</v>
      </c>
      <c r="H4054" t="n">
        <v>0.0239189303457948</v>
      </c>
      <c r="I4054" t="n">
        <v>0.07403734655312549</v>
      </c>
      <c r="J4054" t="n">
        <v>0.0053251936029433</v>
      </c>
      <c r="K4054" t="n">
        <v>0.7266911377813817</v>
      </c>
      <c r="L4054" t="b">
        <v>0</v>
      </c>
      <c r="M4054" t="b">
        <v>0</v>
      </c>
      <c r="N4054" t="inlineStr">
        <is>
          <t>alt</t>
        </is>
      </c>
      <c r="O4054" t="n">
        <v>-70</v>
      </c>
      <c r="P4054" t="n">
        <v>0.06122</v>
      </c>
      <c r="Q4054" t="n">
        <v>-70</v>
      </c>
      <c r="R4054" t="n">
        <v>0.1298</v>
      </c>
      <c r="S4054">
        <f>IMAGE("https://mitra.stanford.edu/kundaje/oak/projects/neuro-variants/variant_position/credible/roussos_2024/variant_figures/roussos_2024.adolescence.Astrocyte/rs12344021_count_position.png",4,220,900)</f>
        <v/>
      </c>
      <c r="T4054">
        <f>IMAGE("https://mitra.stanford.edu/kundaje/oak/projects/neuro-variants/variant_position/credible/roussos_2024/variant_figures/roussos_2024.adolescence.Astrocyte/rs12344021_profile_position.png",4,220,900)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-0.0184896818</v>
      </c>
      <c r="G4055" t="n">
        <v>0.5812831875041968</v>
      </c>
      <c r="H4055" t="n">
        <v>0.0244726113961435</v>
      </c>
      <c r="I4055" t="n">
        <v>0.0676550574194109</v>
      </c>
      <c r="J4055" t="n">
        <v>0.0106674480016615</v>
      </c>
      <c r="K4055" t="n">
        <v>0.6519024180868183</v>
      </c>
      <c r="L4055" t="b">
        <v>0</v>
      </c>
      <c r="M4055" t="b">
        <v>0</v>
      </c>
      <c r="N4055" t="inlineStr">
        <is>
          <t>ref</t>
        </is>
      </c>
      <c r="O4055" t="n">
        <v>-70</v>
      </c>
      <c r="P4055" t="n">
        <v>0.00625</v>
      </c>
      <c r="Q4055" t="n">
        <v>-80</v>
      </c>
      <c r="R4055" t="n">
        <v>0.04306</v>
      </c>
      <c r="S4055">
        <f>IMAGE("https://mitra.stanford.edu/kundaje/oak/projects/neuro-variants/variant_position/credible/roussos_2024/variant_figures/roussos_2024.adolescence.Astrocyte/rs12336645_count_position.png",4,220,900)</f>
        <v/>
      </c>
      <c r="T4055">
        <f>IMAGE("https://mitra.stanford.edu/kundaje/oak/projects/neuro-variants/variant_position/credible/roussos_2024/variant_figures/roussos_2024.adolescence.Astrocyte/rs12336645_profile_position.png",4,220,900)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-0.00403716294</v>
      </c>
      <c r="G4056" t="n">
        <v>0.7769448215554283</v>
      </c>
      <c r="H4056" t="n">
        <v>0.0306185485482588</v>
      </c>
      <c r="I4056" t="n">
        <v>0.0289387244439139</v>
      </c>
      <c r="J4056" t="n">
        <v>0.0068525057116576</v>
      </c>
      <c r="K4056" t="n">
        <v>0.7054183190774167</v>
      </c>
      <c r="L4056" t="b">
        <v>0</v>
      </c>
      <c r="M4056" t="b">
        <v>0</v>
      </c>
      <c r="N4056" t="inlineStr">
        <is>
          <t>ref</t>
        </is>
      </c>
      <c r="O4056" t="n">
        <v>45</v>
      </c>
      <c r="P4056" t="n">
        <v>0.006104</v>
      </c>
      <c r="Q4056" t="n">
        <v>-90</v>
      </c>
      <c r="R4056" t="n">
        <v>0.047</v>
      </c>
      <c r="S4056">
        <f>IMAGE("https://mitra.stanford.edu/kundaje/oak/projects/neuro-variants/variant_position/credible/roussos_2024/variant_figures/roussos_2024.adolescence.Astrocyte/rs7023933_count_position.png",4,220,900)</f>
        <v/>
      </c>
      <c r="T4056">
        <f>IMAGE("https://mitra.stanford.edu/kundaje/oak/projects/neuro-variants/variant_position/credible/roussos_2024/variant_figures/roussos_2024.adolescence.Astrocyte/rs7023933_profile_position.png",4,220,900)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0.00960444762</v>
      </c>
      <c r="G4057" t="n">
        <v>0.584465767135546</v>
      </c>
      <c r="H4057" t="n">
        <v>0.0258992851827157</v>
      </c>
      <c r="I4057" t="n">
        <v>0.0551962017923709</v>
      </c>
      <c r="J4057" t="n">
        <v>0.109789187906121</v>
      </c>
      <c r="K4057" t="n">
        <v>0.3176858256343874</v>
      </c>
      <c r="L4057" t="b">
        <v>0</v>
      </c>
      <c r="M4057" t="b">
        <v>0</v>
      </c>
      <c r="N4057" t="inlineStr">
        <is>
          <t>alt</t>
        </is>
      </c>
      <c r="O4057" t="n">
        <v>-35</v>
      </c>
      <c r="P4057" t="n">
        <v>0.02753</v>
      </c>
      <c r="Q4057" t="n">
        <v>65</v>
      </c>
      <c r="R4057" t="n">
        <v>0.0794</v>
      </c>
      <c r="S4057">
        <f>IMAGE("https://mitra.stanford.edu/kundaje/oak/projects/neuro-variants/variant_position/credible/roussos_2024/variant_figures/roussos_2024.adolescence.Astrocyte/rs10125504_count_position.png",4,220,900)</f>
        <v/>
      </c>
      <c r="T4057">
        <f>IMAGE("https://mitra.stanford.edu/kundaje/oak/projects/neuro-variants/variant_position/credible/roussos_2024/variant_figures/roussos_2024.adolescence.Astrocyte/rs10125504_profile_position.png",4,220,900)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0.0496930951999999</v>
      </c>
      <c r="G4058" t="n">
        <v>0.2349587449262298</v>
      </c>
      <c r="H4058" t="n">
        <v>0.0155404044550685</v>
      </c>
      <c r="I4058" t="n">
        <v>0.294852616621832</v>
      </c>
      <c r="J4058" t="n">
        <v>0.0114974928047948</v>
      </c>
      <c r="K4058" t="n">
        <v>0.6546122523676928</v>
      </c>
      <c r="L4058" t="b">
        <v>0</v>
      </c>
      <c r="M4058" t="b">
        <v>0</v>
      </c>
      <c r="N4058" t="inlineStr">
        <is>
          <t>alt</t>
        </is>
      </c>
      <c r="O4058" t="n">
        <v>-65</v>
      </c>
      <c r="P4058" t="n">
        <v>0.003395</v>
      </c>
      <c r="Q4058" t="n">
        <v>-75</v>
      </c>
      <c r="R4058" t="n">
        <v>0.0355</v>
      </c>
      <c r="S4058">
        <f>IMAGE("https://mitra.stanford.edu/kundaje/oak/projects/neuro-variants/variant_position/credible/roussos_2024/variant_figures/roussos_2024.adolescence.Astrocyte/rs12554020_count_position.png",4,220,900)</f>
        <v/>
      </c>
      <c r="T4058">
        <f>IMAGE("https://mitra.stanford.edu/kundaje/oak/projects/neuro-variants/variant_position/credible/roussos_2024/variant_figures/roussos_2024.adolescence.Astrocyte/rs12554020_profile_position.png",4,220,900)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0.042478257</v>
      </c>
      <c r="G4059" t="n">
        <v>0.27903307232116</v>
      </c>
      <c r="H4059" t="n">
        <v>0.0313368555572104</v>
      </c>
      <c r="I4059" t="n">
        <v>0.0264246146419953</v>
      </c>
      <c r="J4059" t="n">
        <v>0.0411669584310001</v>
      </c>
      <c r="K4059" t="n">
        <v>0.4745863448674819</v>
      </c>
      <c r="L4059" t="b">
        <v>0</v>
      </c>
      <c r="M4059" t="b">
        <v>0</v>
      </c>
      <c r="N4059" t="inlineStr">
        <is>
          <t>alt</t>
        </is>
      </c>
      <c r="O4059" t="n">
        <v>75</v>
      </c>
      <c r="P4059" t="n">
        <v>0.014175</v>
      </c>
      <c r="Q4059" t="n">
        <v>100</v>
      </c>
      <c r="R4059" t="n">
        <v>0.06710000000000001</v>
      </c>
      <c r="S4059">
        <f>IMAGE("https://mitra.stanford.edu/kundaje/oak/projects/neuro-variants/variant_position/credible/roussos_2024/variant_figures/roussos_2024.adolescence.Astrocyte/rs28464341_count_position.png",4,220,900)</f>
        <v/>
      </c>
      <c r="T4059">
        <f>IMAGE("https://mitra.stanford.edu/kundaje/oak/projects/neuro-variants/variant_position/credible/roussos_2024/variant_figures/roussos_2024.adolescence.Astrocyte/rs28464341_profile_position.png",4,220,900)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-0.02463738208</v>
      </c>
      <c r="G4060" t="n">
        <v>0.4345916762817716</v>
      </c>
      <c r="H4060" t="n">
        <v>0.0160199757239497</v>
      </c>
      <c r="I4060" t="n">
        <v>0.2728584982289014</v>
      </c>
      <c r="J4060" t="n">
        <v>0.6260718630388986</v>
      </c>
      <c r="K4060" t="n">
        <v>0.0282913798851365</v>
      </c>
      <c r="L4060" t="b">
        <v>0</v>
      </c>
      <c r="M4060" t="b">
        <v>0</v>
      </c>
      <c r="N4060" t="inlineStr">
        <is>
          <t>ref</t>
        </is>
      </c>
      <c r="O4060" t="n">
        <v>-100</v>
      </c>
      <c r="P4060" t="n">
        <v>0.02377</v>
      </c>
      <c r="Q4060" t="n">
        <v>-100</v>
      </c>
      <c r="R4060" t="n">
        <v>0.3267</v>
      </c>
      <c r="S4060">
        <f>IMAGE("https://mitra.stanford.edu/kundaje/oak/projects/neuro-variants/variant_position/credible/roussos_2024/variant_figures/roussos_2024.adolescence.Astrocyte/rs7869257_count_position.png",4,220,900)</f>
        <v/>
      </c>
      <c r="T4060">
        <f>IMAGE("https://mitra.stanford.edu/kundaje/oak/projects/neuro-variants/variant_position/credible/roussos_2024/variant_figures/roussos_2024.adolescence.Astrocyte/rs7869257_profile_position.png",4,220,900)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-0.0240357776</v>
      </c>
      <c r="G4061" t="n">
        <v>0.4858140140537711</v>
      </c>
      <c r="H4061" t="n">
        <v>0.0108838409066847</v>
      </c>
      <c r="I4061" t="n">
        <v>0.6709856586465731</v>
      </c>
      <c r="J4061" t="n">
        <v>0.0570616859033319</v>
      </c>
      <c r="K4061" t="n">
        <v>0.4299080973415468</v>
      </c>
      <c r="L4061" t="b">
        <v>0</v>
      </c>
      <c r="M4061" t="b">
        <v>0</v>
      </c>
      <c r="N4061" t="inlineStr">
        <is>
          <t>ref</t>
        </is>
      </c>
      <c r="O4061" t="n">
        <v>70</v>
      </c>
      <c r="P4061" t="n">
        <v>0.007374</v>
      </c>
      <c r="Q4061" t="n">
        <v>-100</v>
      </c>
      <c r="R4061" t="n">
        <v>0.1533</v>
      </c>
      <c r="S4061">
        <f>IMAGE("https://mitra.stanford.edu/kundaje/oak/projects/neuro-variants/variant_position/credible/roussos_2024/variant_figures/roussos_2024.adolescence.Astrocyte/rs7867834_count_position.png",4,220,900)</f>
        <v/>
      </c>
      <c r="T4061">
        <f>IMAGE("https://mitra.stanford.edu/kundaje/oak/projects/neuro-variants/variant_position/credible/roussos_2024/variant_figures/roussos_2024.adolescence.Astrocyte/rs7867834_profile_position.png",4,220,900)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0.1034986374</v>
      </c>
      <c r="G4062" t="n">
        <v>0.0734824790171251</v>
      </c>
      <c r="H4062" t="n">
        <v>0.0153093980720196</v>
      </c>
      <c r="I4062" t="n">
        <v>0.3056306308431265</v>
      </c>
      <c r="J4062" t="n">
        <v>0.0207778239325875</v>
      </c>
      <c r="K4062" t="n">
        <v>0.6008691705904528</v>
      </c>
      <c r="L4062" t="b">
        <v>0</v>
      </c>
      <c r="M4062" t="b">
        <v>0</v>
      </c>
      <c r="N4062" t="inlineStr">
        <is>
          <t>alt</t>
        </is>
      </c>
      <c r="O4062" t="n">
        <v>65</v>
      </c>
      <c r="P4062" t="n">
        <v>0.00526</v>
      </c>
      <c r="Q4062" t="n">
        <v>100</v>
      </c>
      <c r="R4062" t="n">
        <v>0.1617</v>
      </c>
      <c r="S4062">
        <f>IMAGE("https://mitra.stanford.edu/kundaje/oak/projects/neuro-variants/variant_position/credible/roussos_2024/variant_figures/roussos_2024.adolescence.Astrocyte/rs10985817_count_position.png",4,220,900)</f>
        <v/>
      </c>
      <c r="T4062">
        <f>IMAGE("https://mitra.stanford.edu/kundaje/oak/projects/neuro-variants/variant_position/credible/roussos_2024/variant_figures/roussos_2024.adolescence.Astrocyte/rs10985817_profile_position.png",4,220,900)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0.0636823332399999</v>
      </c>
      <c r="G4063" t="n">
        <v>0.2090763476286755</v>
      </c>
      <c r="H4063" t="n">
        <v>0.0134833736024731</v>
      </c>
      <c r="I4063" t="n">
        <v>0.4248053058904635</v>
      </c>
      <c r="J4063" t="n">
        <v>0.009450939085541199</v>
      </c>
      <c r="K4063" t="n">
        <v>0.6875141878303128</v>
      </c>
      <c r="L4063" t="b">
        <v>0</v>
      </c>
      <c r="M4063" t="b">
        <v>0</v>
      </c>
      <c r="N4063" t="inlineStr">
        <is>
          <t>alt</t>
        </is>
      </c>
      <c r="O4063" t="n">
        <v>-25</v>
      </c>
      <c r="P4063" t="n">
        <v>0.00434</v>
      </c>
      <c r="Q4063" t="n">
        <v>100</v>
      </c>
      <c r="R4063" t="n">
        <v>0.09375</v>
      </c>
      <c r="S4063">
        <f>IMAGE("https://mitra.stanford.edu/kundaje/oak/projects/neuro-variants/variant_position/credible/roussos_2024/variant_figures/roussos_2024.adolescence.Astrocyte/rs3780444_count_position.png",4,220,900)</f>
        <v/>
      </c>
      <c r="T4063">
        <f>IMAGE("https://mitra.stanford.edu/kundaje/oak/projects/neuro-variants/variant_position/credible/roussos_2024/variant_figures/roussos_2024.adolescence.Astrocyte/rs3780444_profile_position.png",4,220,900)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0.2129503159999999</v>
      </c>
      <c r="G4064" t="n">
        <v>0.0150942924525504</v>
      </c>
      <c r="H4064" t="n">
        <v>0.0292779536947826</v>
      </c>
      <c r="I4064" t="n">
        <v>0.034737743301754</v>
      </c>
      <c r="J4064" t="n">
        <v>0.3775784054831914</v>
      </c>
      <c r="K4064" t="n">
        <v>0.096918619297245</v>
      </c>
      <c r="L4064" t="b">
        <v>1</v>
      </c>
      <c r="M4064" t="b">
        <v>0</v>
      </c>
      <c r="N4064" t="inlineStr">
        <is>
          <t>alt</t>
        </is>
      </c>
      <c r="O4064" t="n">
        <v>50</v>
      </c>
      <c r="P4064" t="n">
        <v>0.0047</v>
      </c>
      <c r="Q4064" t="n">
        <v>100</v>
      </c>
      <c r="R4064" t="n">
        <v>0.0708</v>
      </c>
      <c r="S4064">
        <f>IMAGE("https://mitra.stanford.edu/kundaje/oak/projects/neuro-variants/variant_position/credible/roussos_2024/variant_figures/roussos_2024.adolescence.Astrocyte/rs10817282_count_position.png",4,220,900)</f>
        <v/>
      </c>
      <c r="T4064">
        <f>IMAGE("https://mitra.stanford.edu/kundaje/oak/projects/neuro-variants/variant_position/credible/roussos_2024/variant_figures/roussos_2024.adolescence.Astrocyte/rs10817282_profile_position.png",4,220,900)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0.0274948529999999</v>
      </c>
      <c r="G4065" t="n">
        <v>0.4366902436853623</v>
      </c>
      <c r="H4065" t="n">
        <v>0.014430511969207</v>
      </c>
      <c r="I4065" t="n">
        <v>0.3592050513425633</v>
      </c>
      <c r="J4065" t="n">
        <v>0.1963252529448416</v>
      </c>
      <c r="K4065" t="n">
        <v>0.2072438670351615</v>
      </c>
      <c r="L4065" t="b">
        <v>0</v>
      </c>
      <c r="M4065" t="b">
        <v>0</v>
      </c>
      <c r="N4065" t="inlineStr">
        <is>
          <t>alt</t>
        </is>
      </c>
      <c r="O4065" t="n">
        <v>85</v>
      </c>
      <c r="P4065" t="n">
        <v>0.008316</v>
      </c>
      <c r="Q4065" t="n">
        <v>45</v>
      </c>
      <c r="R4065" t="n">
        <v>0.0358</v>
      </c>
      <c r="S4065">
        <f>IMAGE("https://mitra.stanford.edu/kundaje/oak/projects/neuro-variants/variant_position/credible/roussos_2024/variant_figures/roussos_2024.adolescence.Astrocyte/rs1887518_count_position.png",4,220,900)</f>
        <v/>
      </c>
      <c r="T4065">
        <f>IMAGE("https://mitra.stanford.edu/kundaje/oak/projects/neuro-variants/variant_position/credible/roussos_2024/variant_figures/roussos_2024.adolescence.Astrocyte/rs1887518_profile_position.png",4,220,900)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0.093278267</v>
      </c>
      <c r="G4066" t="n">
        <v>0.086797678957743</v>
      </c>
      <c r="H4066" t="n">
        <v>0.0112537743597535</v>
      </c>
      <c r="I4066" t="n">
        <v>0.6273280957600686</v>
      </c>
      <c r="J4066" t="n">
        <v>0.0029522594427795</v>
      </c>
      <c r="K4066" t="n">
        <v>0.7993085161595173</v>
      </c>
      <c r="L4066" t="b">
        <v>0</v>
      </c>
      <c r="M4066" t="b">
        <v>0</v>
      </c>
      <c r="N4066" t="inlineStr">
        <is>
          <t>alt</t>
        </is>
      </c>
      <c r="O4066" t="n">
        <v>90</v>
      </c>
      <c r="P4066" t="n">
        <v>0.007072</v>
      </c>
      <c r="Q4066" t="n">
        <v>50</v>
      </c>
      <c r="R4066" t="n">
        <v>0.05157</v>
      </c>
      <c r="S4066">
        <f>IMAGE("https://mitra.stanford.edu/kundaje/oak/projects/neuro-variants/variant_position/credible/roussos_2024/variant_figures/roussos_2024.adolescence.Astrocyte/rs10114558_count_position.png",4,220,900)</f>
        <v/>
      </c>
      <c r="T4066">
        <f>IMAGE("https://mitra.stanford.edu/kundaje/oak/projects/neuro-variants/variant_position/credible/roussos_2024/variant_figures/roussos_2024.adolescence.Astrocyte/rs10114558_profile_position.png",4,220,900)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0.060305774</v>
      </c>
      <c r="G4067" t="n">
        <v>0.1866596826861442</v>
      </c>
      <c r="H4067" t="n">
        <v>0.0155553082719169</v>
      </c>
      <c r="I4067" t="n">
        <v>0.2990626482822942</v>
      </c>
      <c r="J4067" t="n">
        <v>0.1062835652612526</v>
      </c>
      <c r="K4067" t="n">
        <v>0.3133112715092347</v>
      </c>
      <c r="L4067" t="b">
        <v>0</v>
      </c>
      <c r="M4067" t="b">
        <v>0</v>
      </c>
      <c r="N4067" t="inlineStr">
        <is>
          <t>alt</t>
        </is>
      </c>
      <c r="O4067" t="n">
        <v>95</v>
      </c>
      <c r="P4067" t="n">
        <v>0.0323</v>
      </c>
      <c r="Q4067" t="n">
        <v>60</v>
      </c>
      <c r="R4067" t="n">
        <v>0.0762</v>
      </c>
      <c r="S4067">
        <f>IMAGE("https://mitra.stanford.edu/kundaje/oak/projects/neuro-variants/variant_position/credible/roussos_2024/variant_figures/roussos_2024.adolescence.Astrocyte/rs7861162_count_position.png",4,220,900)</f>
        <v/>
      </c>
      <c r="T4067">
        <f>IMAGE("https://mitra.stanford.edu/kundaje/oak/projects/neuro-variants/variant_position/credible/roussos_2024/variant_figures/roussos_2024.adolescence.Astrocyte/rs7861162_profile_position.png",4,220,900)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-0.057572701</v>
      </c>
      <c r="G4068" t="n">
        <v>0.1716613155735648</v>
      </c>
      <c r="H4068" t="n">
        <v>0.0132084870552387</v>
      </c>
      <c r="I4068" t="n">
        <v>0.4461381595691076</v>
      </c>
      <c r="J4068" t="n">
        <v>0.091781147078895</v>
      </c>
      <c r="K4068" t="n">
        <v>0.3449346443311838</v>
      </c>
      <c r="L4068" t="b">
        <v>0</v>
      </c>
      <c r="M4068" t="b">
        <v>0</v>
      </c>
      <c r="N4068" t="inlineStr">
        <is>
          <t>ref</t>
        </is>
      </c>
      <c r="O4068" t="n">
        <v>-100</v>
      </c>
      <c r="P4068" t="n">
        <v>0.06042</v>
      </c>
      <c r="Q4068" t="n">
        <v>-100</v>
      </c>
      <c r="R4068" t="n">
        <v>0.3125</v>
      </c>
      <c r="S4068">
        <f>IMAGE("https://mitra.stanford.edu/kundaje/oak/projects/neuro-variants/variant_position/credible/roussos_2024/variant_figures/roussos_2024.adolescence.Astrocyte/rs7861788_count_position.png",4,220,900)</f>
        <v/>
      </c>
      <c r="T4068">
        <f>IMAGE("https://mitra.stanford.edu/kundaje/oak/projects/neuro-variants/variant_position/credible/roussos_2024/variant_figures/roussos_2024.adolescence.Astrocyte/rs7861788_profile_position.png",4,220,900)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-0.017698795</v>
      </c>
      <c r="G4069" t="n">
        <v>0.5842308419740573</v>
      </c>
      <c r="H4069" t="n">
        <v>0.0117666224429776</v>
      </c>
      <c r="I4069" t="n">
        <v>0.5786090883773163</v>
      </c>
      <c r="J4069" t="n">
        <v>0.0406254636085807</v>
      </c>
      <c r="K4069" t="n">
        <v>0.4669048584947125</v>
      </c>
      <c r="L4069" t="b">
        <v>0</v>
      </c>
      <c r="M4069" t="b">
        <v>0</v>
      </c>
      <c r="N4069" t="inlineStr">
        <is>
          <t>ref</t>
        </is>
      </c>
      <c r="O4069" t="n">
        <v>-100</v>
      </c>
      <c r="P4069" t="n">
        <v>0.014175</v>
      </c>
      <c r="Q4069" t="n">
        <v>-100</v>
      </c>
      <c r="R4069" t="n">
        <v>0.2266</v>
      </c>
      <c r="S4069">
        <f>IMAGE("https://mitra.stanford.edu/kundaje/oak/projects/neuro-variants/variant_position/credible/roussos_2024/variant_figures/roussos_2024.adolescence.Astrocyte/rs7869523_count_position.png",4,220,900)</f>
        <v/>
      </c>
      <c r="T4069">
        <f>IMAGE("https://mitra.stanford.edu/kundaje/oak/projects/neuro-variants/variant_position/credible/roussos_2024/variant_figures/roussos_2024.adolescence.Astrocyte/rs7869523_profile_position.png",4,220,900)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-0.00893418052</v>
      </c>
      <c r="G4070" t="n">
        <v>0.7727500869246802</v>
      </c>
      <c r="H4070" t="n">
        <v>0.0322207668631592</v>
      </c>
      <c r="I4070" t="n">
        <v>0.0233792761301577</v>
      </c>
      <c r="J4070" t="n">
        <v>0.0093597009168323</v>
      </c>
      <c r="K4070" t="n">
        <v>0.6730287185767713</v>
      </c>
      <c r="L4070" t="b">
        <v>0</v>
      </c>
      <c r="M4070" t="b">
        <v>0</v>
      </c>
      <c r="N4070" t="inlineStr">
        <is>
          <t>ref</t>
        </is>
      </c>
      <c r="O4070" t="n">
        <v>-100</v>
      </c>
      <c r="P4070" t="n">
        <v>0.004402</v>
      </c>
      <c r="Q4070" t="n">
        <v>95</v>
      </c>
      <c r="R4070" t="n">
        <v>0.11346</v>
      </c>
      <c r="S4070">
        <f>IMAGE("https://mitra.stanford.edu/kundaje/oak/projects/neuro-variants/variant_position/credible/roussos_2024/variant_figures/roussos_2024.adolescence.Astrocyte/rs7871559_count_position.png",4,220,900)</f>
        <v/>
      </c>
      <c r="T4070">
        <f>IMAGE("https://mitra.stanford.edu/kundaje/oak/projects/neuro-variants/variant_position/credible/roussos_2024/variant_figures/roussos_2024.adolescence.Astrocyte/rs7871559_profile_position.png",4,220,900)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-0.0196734527999999</v>
      </c>
      <c r="G4071" t="n">
        <v>0.5542134226409314</v>
      </c>
      <c r="H4071" t="n">
        <v>0.0460523468090425</v>
      </c>
      <c r="I4071" t="n">
        <v>0.0057267480287405</v>
      </c>
      <c r="J4071" t="n">
        <v>0.0536154051568109</v>
      </c>
      <c r="K4071" t="n">
        <v>0.4277634315946743</v>
      </c>
      <c r="L4071" t="b">
        <v>1</v>
      </c>
      <c r="M4071" t="b">
        <v>1</v>
      </c>
      <c r="N4071" t="inlineStr">
        <is>
          <t>ref</t>
        </is>
      </c>
      <c r="O4071" t="n">
        <v>100</v>
      </c>
      <c r="P4071" t="n">
        <v>0.0299</v>
      </c>
      <c r="Q4071" t="n">
        <v>70</v>
      </c>
      <c r="R4071" t="n">
        <v>0.1908</v>
      </c>
      <c r="S4071">
        <f>IMAGE("https://mitra.stanford.edu/kundaje/oak/projects/neuro-variants/variant_position/credible/roussos_2024/variant_figures/roussos_2024.adolescence.Astrocyte/rs3780514_count_position.png",4,220,900)</f>
        <v/>
      </c>
      <c r="T4071">
        <f>IMAGE("https://mitra.stanford.edu/kundaje/oak/projects/neuro-variants/variant_position/credible/roussos_2024/variant_figures/roussos_2024.adolescence.Astrocyte/rs3780514_profile_position.png",4,220,900)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0.067135216</v>
      </c>
      <c r="G4072" t="n">
        <v>0.1613553245410062</v>
      </c>
      <c r="H4072" t="n">
        <v>0.0365361561502493</v>
      </c>
      <c r="I4072" t="n">
        <v>0.013877398800266</v>
      </c>
      <c r="J4072" t="n">
        <v>0.0103113966115775</v>
      </c>
      <c r="K4072" t="n">
        <v>0.6654087349924298</v>
      </c>
      <c r="L4072" t="b">
        <v>1</v>
      </c>
      <c r="M4072" t="b">
        <v>0</v>
      </c>
      <c r="N4072" t="inlineStr">
        <is>
          <t>alt</t>
        </is>
      </c>
      <c r="O4072" t="n">
        <v>-90</v>
      </c>
      <c r="P4072" t="n">
        <v>0.003494</v>
      </c>
      <c r="Q4072" t="n">
        <v>-25</v>
      </c>
      <c r="R4072" t="n">
        <v>0.013306</v>
      </c>
      <c r="S4072">
        <f>IMAGE("https://mitra.stanford.edu/kundaje/oak/projects/neuro-variants/variant_position/credible/roussos_2024/variant_figures/roussos_2024.adolescence.Astrocyte/rs3736985_count_position.png",4,220,900)</f>
        <v/>
      </c>
      <c r="T4072">
        <f>IMAGE("https://mitra.stanford.edu/kundaje/oak/projects/neuro-variants/variant_position/credible/roussos_2024/variant_figures/roussos_2024.adolescence.Astrocyte/rs3736985_profile_position.png",4,220,900)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0.1996506896</v>
      </c>
      <c r="G4073" t="n">
        <v>0.0224486814910832</v>
      </c>
      <c r="H4073" t="n">
        <v>0.0238859870789881</v>
      </c>
      <c r="I4073" t="n">
        <v>0.07697075570488569</v>
      </c>
      <c r="J4073" t="n">
        <v>0.0039759071892709</v>
      </c>
      <c r="K4073" t="n">
        <v>0.7805441765892507</v>
      </c>
      <c r="L4073" t="b">
        <v>0</v>
      </c>
      <c r="M4073" t="b">
        <v>0</v>
      </c>
      <c r="N4073" t="inlineStr">
        <is>
          <t>alt</t>
        </is>
      </c>
      <c r="O4073" t="n">
        <v>-100</v>
      </c>
      <c r="P4073" t="n">
        <v>0.00971</v>
      </c>
      <c r="Q4073" t="n">
        <v>15</v>
      </c>
      <c r="R4073" t="n">
        <v>0.0548</v>
      </c>
      <c r="S4073">
        <f>IMAGE("https://mitra.stanford.edu/kundaje/oak/projects/neuro-variants/variant_position/credible/roussos_2024/variant_figures/roussos_2024.adolescence.Astrocyte/rs7026917_count_position.png",4,220,900)</f>
        <v/>
      </c>
      <c r="T4073">
        <f>IMAGE("https://mitra.stanford.edu/kundaje/oak/projects/neuro-variants/variant_position/credible/roussos_2024/variant_figures/roussos_2024.adolescence.Astrocyte/rs7026917_profile_position.png",4,220,900)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0.0439791036</v>
      </c>
      <c r="G4074" t="n">
        <v>0.2717252596188121</v>
      </c>
      <c r="H4074" t="n">
        <v>0.0127863319350262</v>
      </c>
      <c r="I4074" t="n">
        <v>0.4778536754008191</v>
      </c>
      <c r="J4074" t="n">
        <v>0.0004242945731833</v>
      </c>
      <c r="K4074" t="n">
        <v>0.9204726689831104</v>
      </c>
      <c r="L4074" t="b">
        <v>0</v>
      </c>
      <c r="M4074" t="b">
        <v>0</v>
      </c>
      <c r="N4074" t="inlineStr">
        <is>
          <t>alt</t>
        </is>
      </c>
      <c r="O4074" t="n">
        <v>100</v>
      </c>
      <c r="P4074" t="n">
        <v>0.009469999999999999</v>
      </c>
      <c r="Q4074" t="n">
        <v>80</v>
      </c>
      <c r="R4074" t="n">
        <v>0.0977</v>
      </c>
      <c r="S4074">
        <f>IMAGE("https://mitra.stanford.edu/kundaje/oak/projects/neuro-variants/variant_position/credible/roussos_2024/variant_figures/roussos_2024.adolescence.Astrocyte/rs7021564_count_position.png",4,220,900)</f>
        <v/>
      </c>
      <c r="T4074">
        <f>IMAGE("https://mitra.stanford.edu/kundaje/oak/projects/neuro-variants/variant_position/credible/roussos_2024/variant_figures/roussos_2024.adolescence.Astrocyte/rs7021564_profile_position.png",4,220,900)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0.02736265016</v>
      </c>
      <c r="G4075" t="n">
        <v>0.4262856144747671</v>
      </c>
      <c r="H4075" t="n">
        <v>0.008295961766934999</v>
      </c>
      <c r="I4075" t="n">
        <v>0.8961307995748353</v>
      </c>
      <c r="J4075" t="n">
        <v>0.0021036702964127</v>
      </c>
      <c r="K4075" t="n">
        <v>0.8238182660571517</v>
      </c>
      <c r="L4075" t="b">
        <v>0</v>
      </c>
      <c r="M4075" t="b">
        <v>0</v>
      </c>
      <c r="N4075" t="inlineStr">
        <is>
          <t>alt</t>
        </is>
      </c>
      <c r="O4075" t="n">
        <v>0</v>
      </c>
      <c r="P4075" t="n">
        <v>0</v>
      </c>
      <c r="Q4075" t="n">
        <v>100</v>
      </c>
      <c r="R4075" t="n">
        <v>0.1692</v>
      </c>
      <c r="S4075">
        <f>IMAGE("https://mitra.stanford.edu/kundaje/oak/projects/neuro-variants/variant_position/credible/roussos_2024/variant_figures/roussos_2024.adolescence.Astrocyte/rs7033486_count_position.png",4,220,900)</f>
        <v/>
      </c>
      <c r="T4075">
        <f>IMAGE("https://mitra.stanford.edu/kundaje/oak/projects/neuro-variants/variant_position/credible/roussos_2024/variant_figures/roussos_2024.adolescence.Astrocyte/rs7033486_profile_position.png",4,220,900)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0.0123325212</v>
      </c>
      <c r="G4076" t="n">
        <v>0.5062558426596586</v>
      </c>
      <c r="H4076" t="n">
        <v>0.0162091815180636</v>
      </c>
      <c r="I4076" t="n">
        <v>0.2632282677063644</v>
      </c>
      <c r="J4076" t="n">
        <v>0.0047673797584784</v>
      </c>
      <c r="K4076" t="n">
        <v>0.7563886596956654</v>
      </c>
      <c r="L4076" t="b">
        <v>0</v>
      </c>
      <c r="M4076" t="b">
        <v>0</v>
      </c>
      <c r="N4076" t="inlineStr">
        <is>
          <t>alt</t>
        </is>
      </c>
      <c r="O4076" t="n">
        <v>70</v>
      </c>
      <c r="P4076" t="n">
        <v>0.001602</v>
      </c>
      <c r="Q4076" t="n">
        <v>90</v>
      </c>
      <c r="R4076" t="n">
        <v>0.1129</v>
      </c>
      <c r="S4076">
        <f>IMAGE("https://mitra.stanford.edu/kundaje/oak/projects/neuro-variants/variant_position/credible/roussos_2024/variant_figures/roussos_2024.adolescence.Astrocyte/rs11792718_count_position.png",4,220,900)</f>
        <v/>
      </c>
      <c r="T4076">
        <f>IMAGE("https://mitra.stanford.edu/kundaje/oak/projects/neuro-variants/variant_position/credible/roussos_2024/variant_figures/roussos_2024.adolescence.Astrocyte/rs11792718_profile_position.png",4,220,900)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-0.00382832094</v>
      </c>
      <c r="G4077" t="n">
        <v>0.8135154552872665</v>
      </c>
      <c r="H4077" t="n">
        <v>0.0197283003900053</v>
      </c>
      <c r="I4077" t="n">
        <v>0.1426978712308161</v>
      </c>
      <c r="J4077" t="n">
        <v>5.860012461798653e-05</v>
      </c>
      <c r="K4077" t="n">
        <v>0.9907481049787902</v>
      </c>
      <c r="L4077" t="b">
        <v>0</v>
      </c>
      <c r="M4077" t="b">
        <v>0</v>
      </c>
      <c r="N4077" t="inlineStr">
        <is>
          <t>ref</t>
        </is>
      </c>
      <c r="O4077" t="n">
        <v>-50</v>
      </c>
      <c r="P4077" t="n">
        <v>0.001694</v>
      </c>
      <c r="Q4077" t="n">
        <v>100</v>
      </c>
      <c r="R4077" t="n">
        <v>0.1112</v>
      </c>
      <c r="S4077">
        <f>IMAGE("https://mitra.stanford.edu/kundaje/oak/projects/neuro-variants/variant_position/credible/roussos_2024/variant_figures/roussos_2024.adolescence.Astrocyte/rs6477903_count_position.png",4,220,900)</f>
        <v/>
      </c>
      <c r="T4077">
        <f>IMAGE("https://mitra.stanford.edu/kundaje/oak/projects/neuro-variants/variant_position/credible/roussos_2024/variant_figures/roussos_2024.adolescence.Astrocyte/rs6477903_profile_position.png",4,220,900)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-0.0119586307812</v>
      </c>
      <c r="G4078" t="n">
        <v>0.6820852690863963</v>
      </c>
      <c r="H4078" t="n">
        <v>0.0311588184219594</v>
      </c>
      <c r="I4078" t="n">
        <v>0.0268477063827746</v>
      </c>
      <c r="J4078" t="n">
        <v>0.0095436608017089</v>
      </c>
      <c r="K4078" t="n">
        <v>0.68019404005373</v>
      </c>
      <c r="L4078" t="b">
        <v>0</v>
      </c>
      <c r="M4078" t="b">
        <v>0</v>
      </c>
      <c r="N4078" t="inlineStr">
        <is>
          <t>ref</t>
        </is>
      </c>
      <c r="O4078" t="n">
        <v>45</v>
      </c>
      <c r="P4078" t="n">
        <v>0.004883</v>
      </c>
      <c r="Q4078" t="n">
        <v>-5</v>
      </c>
      <c r="R4078" t="n">
        <v>0.0002441</v>
      </c>
      <c r="S4078">
        <f>IMAGE("https://mitra.stanford.edu/kundaje/oak/projects/neuro-variants/variant_position/credible/roussos_2024/variant_figures/roussos_2024.adolescence.Astrocyte/rs4979090_count_position.png",4,220,900)</f>
        <v/>
      </c>
      <c r="T4078">
        <f>IMAGE("https://mitra.stanford.edu/kundaje/oak/projects/neuro-variants/variant_position/credible/roussos_2024/variant_figures/roussos_2024.adolescence.Astrocyte/rs4979090_profile_position.png",4,220,900)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-0.0135891494</v>
      </c>
      <c r="G4079" t="n">
        <v>0.6820772859508833</v>
      </c>
      <c r="H4079" t="n">
        <v>0.0092055925172093</v>
      </c>
      <c r="I4079" t="n">
        <v>0.8194943973059625</v>
      </c>
      <c r="J4079" t="n">
        <v>0.0045708097202029</v>
      </c>
      <c r="K4079" t="n">
        <v>0.7545062438953347</v>
      </c>
      <c r="L4079" t="b">
        <v>0</v>
      </c>
      <c r="M4079" t="b">
        <v>0</v>
      </c>
      <c r="N4079" t="inlineStr">
        <is>
          <t>ref</t>
        </is>
      </c>
      <c r="O4079" t="n">
        <v>85</v>
      </c>
      <c r="P4079" t="n">
        <v>0.003262</v>
      </c>
      <c r="Q4079" t="n">
        <v>100</v>
      </c>
      <c r="R4079" t="n">
        <v>0.06945999999999999</v>
      </c>
      <c r="S4079">
        <f>IMAGE("https://mitra.stanford.edu/kundaje/oak/projects/neuro-variants/variant_position/credible/roussos_2024/variant_figures/roussos_2024.adolescence.Astrocyte/rs7027240_count_position.png",4,220,900)</f>
        <v/>
      </c>
      <c r="T4079">
        <f>IMAGE("https://mitra.stanford.edu/kundaje/oak/projects/neuro-variants/variant_position/credible/roussos_2024/variant_figures/roussos_2024.adolescence.Astrocyte/rs7027240_profile_position.png",4,220,900)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-0.034623301</v>
      </c>
      <c r="G4080" t="n">
        <v>0.3657552478803584</v>
      </c>
      <c r="H4080" t="n">
        <v>0.0136553972565624</v>
      </c>
      <c r="I4080" t="n">
        <v>0.4173136287390769</v>
      </c>
      <c r="J4080" t="n">
        <v>0.0127777942616383</v>
      </c>
      <c r="K4080" t="n">
        <v>0.6330772514232577</v>
      </c>
      <c r="L4080" t="b">
        <v>0</v>
      </c>
      <c r="M4080" t="b">
        <v>0</v>
      </c>
      <c r="N4080" t="inlineStr">
        <is>
          <t>ref</t>
        </is>
      </c>
      <c r="O4080" t="n">
        <v>70</v>
      </c>
      <c r="P4080" t="n">
        <v>0.001484</v>
      </c>
      <c r="Q4080" t="n">
        <v>70</v>
      </c>
      <c r="R4080" t="n">
        <v>0.06744</v>
      </c>
      <c r="S4080">
        <f>IMAGE("https://mitra.stanford.edu/kundaje/oak/projects/neuro-variants/variant_position/credible/roussos_2024/variant_figures/roussos_2024.adolescence.Astrocyte/rs10817308_count_position.png",4,220,900)</f>
        <v/>
      </c>
      <c r="T4080">
        <f>IMAGE("https://mitra.stanford.edu/kundaje/oak/projects/neuro-variants/variant_position/credible/roussos_2024/variant_figures/roussos_2024.adolescence.Astrocyte/rs10817308_profile_position.png",4,220,900)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-0.07238340560000001</v>
      </c>
      <c r="G4081" t="n">
        <v>0.139590112160705</v>
      </c>
      <c r="H4081" t="n">
        <v>0.023227773852345</v>
      </c>
      <c r="I4081" t="n">
        <v>0.0823186771733329</v>
      </c>
      <c r="J4081" t="n">
        <v>0.0010392249948075</v>
      </c>
      <c r="K4081" t="n">
        <v>0.8704998860532008</v>
      </c>
      <c r="L4081" t="b">
        <v>0</v>
      </c>
      <c r="M4081" t="b">
        <v>0</v>
      </c>
      <c r="N4081" t="inlineStr">
        <is>
          <t>ref</t>
        </is>
      </c>
      <c r="O4081" t="n">
        <v>45</v>
      </c>
      <c r="P4081" t="n">
        <v>0.003366</v>
      </c>
      <c r="Q4081" t="n">
        <v>45</v>
      </c>
      <c r="R4081" t="n">
        <v>0.1589</v>
      </c>
      <c r="S4081">
        <f>IMAGE("https://mitra.stanford.edu/kundaje/oak/projects/neuro-variants/variant_position/credible/roussos_2024/variant_figures/roussos_2024.adolescence.Astrocyte/rs12376681_count_position.png",4,220,900)</f>
        <v/>
      </c>
      <c r="T4081">
        <f>IMAGE("https://mitra.stanford.edu/kundaje/oak/projects/neuro-variants/variant_position/credible/roussos_2024/variant_figures/roussos_2024.adolescence.Astrocyte/rs12376681_profile_position.png",4,220,900)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0.0462185145999999</v>
      </c>
      <c r="G4082" t="n">
        <v>0.2615989968161858</v>
      </c>
      <c r="H4082" t="n">
        <v>0.0097591035214693</v>
      </c>
      <c r="I4082" t="n">
        <v>0.7787794739030837</v>
      </c>
      <c r="J4082" t="n">
        <v>0.0125463608580838</v>
      </c>
      <c r="K4082" t="n">
        <v>0.6491100342021795</v>
      </c>
      <c r="L4082" t="b">
        <v>0</v>
      </c>
      <c r="M4082" t="b">
        <v>0</v>
      </c>
      <c r="N4082" t="inlineStr">
        <is>
          <t>alt</t>
        </is>
      </c>
      <c r="O4082" t="n">
        <v>-45</v>
      </c>
      <c r="P4082" t="n">
        <v>0.03232</v>
      </c>
      <c r="Q4082" t="n">
        <v>100</v>
      </c>
      <c r="R4082" t="n">
        <v>0.08057</v>
      </c>
      <c r="S4082">
        <f>IMAGE("https://mitra.stanford.edu/kundaje/oak/projects/neuro-variants/variant_position/credible/roussos_2024/variant_figures/roussos_2024.adolescence.Astrocyte/rs4978484_count_position.png",4,220,900)</f>
        <v/>
      </c>
      <c r="T4082">
        <f>IMAGE("https://mitra.stanford.edu/kundaje/oak/projects/neuro-variants/variant_position/credible/roussos_2024/variant_figures/roussos_2024.adolescence.Astrocyte/rs4978484_profile_position.png",4,220,900)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0.0025163844096</v>
      </c>
      <c r="G4083" t="n">
        <v>0.831541137797135</v>
      </c>
      <c r="H4083" t="n">
        <v>0.0237041984393627</v>
      </c>
      <c r="I4083" t="n">
        <v>0.0760821425792664</v>
      </c>
      <c r="J4083" t="n">
        <v>0.0031777586564994</v>
      </c>
      <c r="K4083" t="n">
        <v>0.7946334118815072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0.01613</v>
      </c>
      <c r="Q4083" t="n">
        <v>-15</v>
      </c>
      <c r="R4083" t="n">
        <v>0.01465</v>
      </c>
      <c r="S4083">
        <f>IMAGE("https://mitra.stanford.edu/kundaje/oak/projects/neuro-variants/variant_position/credible/roussos_2024/variant_figures/roussos_2024.adolescence.Astrocyte/rs4979103_count_position.png",4,220,900)</f>
        <v/>
      </c>
      <c r="T4083">
        <f>IMAGE("https://mitra.stanford.edu/kundaje/oak/projects/neuro-variants/variant_position/credible/roussos_2024/variant_figures/roussos_2024.adolescence.Astrocyte/rs4979103_profile_position.png",4,220,900)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0.00875922912</v>
      </c>
      <c r="G4084" t="n">
        <v>0.6269079663164689</v>
      </c>
      <c r="H4084" t="n">
        <v>0.0112134206311299</v>
      </c>
      <c r="I4084" t="n">
        <v>0.6345089945072947</v>
      </c>
      <c r="J4084" t="n">
        <v>0.0710745334243242</v>
      </c>
      <c r="K4084" t="n">
        <v>0.3837754195045686</v>
      </c>
      <c r="L4084" t="b">
        <v>0</v>
      </c>
      <c r="M4084" t="b">
        <v>0</v>
      </c>
      <c r="N4084" t="inlineStr">
        <is>
          <t>alt</t>
        </is>
      </c>
      <c r="O4084" t="n">
        <v>5</v>
      </c>
      <c r="P4084" t="n">
        <v>0.002306</v>
      </c>
      <c r="Q4084" t="n">
        <v>35</v>
      </c>
      <c r="R4084" t="n">
        <v>0.0891</v>
      </c>
      <c r="S4084">
        <f>IMAGE("https://mitra.stanford.edu/kundaje/oak/projects/neuro-variants/variant_position/credible/roussos_2024/variant_figures/roussos_2024.adolescence.Astrocyte/rs10817323_count_position.png",4,220,900)</f>
        <v/>
      </c>
      <c r="T4084">
        <f>IMAGE("https://mitra.stanford.edu/kundaje/oak/projects/neuro-variants/variant_position/credible/roussos_2024/variant_figures/roussos_2024.adolescence.Astrocyte/rs10817323_profile_position.png",4,220,900)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0.1678375715999999</v>
      </c>
      <c r="G4085" t="n">
        <v>0.0279809781493407</v>
      </c>
      <c r="H4085" t="n">
        <v>0.0199966923016669</v>
      </c>
      <c r="I4085" t="n">
        <v>0.1430544082344173</v>
      </c>
      <c r="J4085" t="n">
        <v>0.1248768655609292</v>
      </c>
      <c r="K4085" t="n">
        <v>0.2849276758529666</v>
      </c>
      <c r="L4085" t="b">
        <v>0</v>
      </c>
      <c r="M4085" t="b">
        <v>0</v>
      </c>
      <c r="N4085" t="inlineStr">
        <is>
          <t>alt</t>
        </is>
      </c>
      <c r="O4085" t="n">
        <v>30</v>
      </c>
      <c r="P4085" t="n">
        <v>0.00535</v>
      </c>
      <c r="Q4085" t="n">
        <v>30</v>
      </c>
      <c r="R4085" t="n">
        <v>0.1423</v>
      </c>
      <c r="S4085">
        <f>IMAGE("https://mitra.stanford.edu/kundaje/oak/projects/neuro-variants/variant_position/credible/roussos_2024/variant_figures/roussos_2024.adolescence.Astrocyte/rs11790388_count_position.png",4,220,900)</f>
        <v/>
      </c>
      <c r="T4085">
        <f>IMAGE("https://mitra.stanford.edu/kundaje/oak/projects/neuro-variants/variant_position/credible/roussos_2024/variant_figures/roussos_2024.adolescence.Astrocyte/rs11790388_profile_position.png",4,220,900)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0.0540398836</v>
      </c>
      <c r="G4086" t="n">
        <v>0.1740024714096082</v>
      </c>
      <c r="H4086" t="n">
        <v>0.0217626814157668</v>
      </c>
      <c r="I4086" t="n">
        <v>0.1052280925818507</v>
      </c>
      <c r="J4086" t="n">
        <v>0.3260562857905824</v>
      </c>
      <c r="K4086" t="n">
        <v>0.1204041543133773</v>
      </c>
      <c r="L4086" t="b">
        <v>0</v>
      </c>
      <c r="M4086" t="b">
        <v>0</v>
      </c>
      <c r="N4086" t="inlineStr">
        <is>
          <t>alt</t>
        </is>
      </c>
      <c r="O4086" t="n">
        <v>-100</v>
      </c>
      <c r="P4086" t="n">
        <v>0.0033</v>
      </c>
      <c r="Q4086" t="n">
        <v>-20</v>
      </c>
      <c r="R4086" t="n">
        <v>0.01782</v>
      </c>
      <c r="S4086">
        <f>IMAGE("https://mitra.stanford.edu/kundaje/oak/projects/neuro-variants/variant_position/credible/roussos_2024/variant_figures/roussos_2024.adolescence.Astrocyte/rs7868607_count_position.png",4,220,900)</f>
        <v/>
      </c>
      <c r="T4086">
        <f>IMAGE("https://mitra.stanford.edu/kundaje/oak/projects/neuro-variants/variant_position/credible/roussos_2024/variant_figures/roussos_2024.adolescence.Astrocyte/rs7868607_profile_position.png",4,220,900)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-0.147807954</v>
      </c>
      <c r="G4087" t="n">
        <v>0.0598160877720055</v>
      </c>
      <c r="H4087" t="n">
        <v>0.0883557685880237</v>
      </c>
      <c r="I4087" t="n">
        <v>0.0010514366565826</v>
      </c>
      <c r="J4087" t="n">
        <v>0.2008070498175236</v>
      </c>
      <c r="K4087" t="n">
        <v>0.2040659327910953</v>
      </c>
      <c r="L4087" t="b">
        <v>1</v>
      </c>
      <c r="M4087" t="b">
        <v>1</v>
      </c>
      <c r="N4087" t="inlineStr">
        <is>
          <t>ref</t>
        </is>
      </c>
      <c r="O4087" t="n">
        <v>-100</v>
      </c>
      <c r="P4087" t="n">
        <v>0.02065</v>
      </c>
      <c r="Q4087" t="n">
        <v>-100</v>
      </c>
      <c r="R4087" t="n">
        <v>0.1305</v>
      </c>
      <c r="S4087">
        <f>IMAGE("https://mitra.stanford.edu/kundaje/oak/projects/neuro-variants/variant_position/credible/roussos_2024/variant_figures/roussos_2024.adolescence.Astrocyte/rs56199530_count_position.png",4,220,900)</f>
        <v/>
      </c>
      <c r="T4087">
        <f>IMAGE("https://mitra.stanford.edu/kundaje/oak/projects/neuro-variants/variant_position/credible/roussos_2024/variant_figures/roussos_2024.adolescence.Astrocyte/rs56199530_profile_position.png",4,220,900)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0.0232153681999999</v>
      </c>
      <c r="G4088" t="n">
        <v>0.5019744450156949</v>
      </c>
      <c r="H4088" t="n">
        <v>0.0109393631032894</v>
      </c>
      <c r="I4088" t="n">
        <v>0.6664435208063605</v>
      </c>
      <c r="J4088" t="n">
        <v>0.6938469869151114</v>
      </c>
      <c r="K4088" t="n">
        <v>0.0191862011173204</v>
      </c>
      <c r="L4088" t="b">
        <v>0</v>
      </c>
      <c r="M4088" t="b">
        <v>0</v>
      </c>
      <c r="N4088" t="inlineStr">
        <is>
          <t>alt</t>
        </is>
      </c>
      <c r="O4088" t="n">
        <v>-85</v>
      </c>
      <c r="P4088" t="n">
        <v>0.02087</v>
      </c>
      <c r="Q4088" t="n">
        <v>-100</v>
      </c>
      <c r="R4088" t="n">
        <v>0.2996</v>
      </c>
      <c r="S4088">
        <f>IMAGE("https://mitra.stanford.edu/kundaje/oak/projects/neuro-variants/variant_position/credible/roussos_2024/variant_figures/roussos_2024.adolescence.Astrocyte/rs10867090_count_position.png",4,220,900)</f>
        <v/>
      </c>
      <c r="T4088">
        <f>IMAGE("https://mitra.stanford.edu/kundaje/oak/projects/neuro-variants/variant_position/credible/roussos_2024/variant_figures/roussos_2024.adolescence.Astrocyte/rs10867090_profile_position.png",4,220,900)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-0.0378115516</v>
      </c>
      <c r="G4089" t="n">
        <v>0.3238024707510109</v>
      </c>
      <c r="H4089" t="n">
        <v>0.0126177546668421</v>
      </c>
      <c r="I4089" t="n">
        <v>0.4941995255134019</v>
      </c>
      <c r="J4089" t="n">
        <v>0.2484890069133311</v>
      </c>
      <c r="K4089" t="n">
        <v>0.1663287337303338</v>
      </c>
      <c r="L4089" t="b">
        <v>0</v>
      </c>
      <c r="M4089" t="b">
        <v>0</v>
      </c>
      <c r="N4089" t="inlineStr">
        <is>
          <t>ref</t>
        </is>
      </c>
      <c r="O4089" t="n">
        <v>-100</v>
      </c>
      <c r="P4089" t="n">
        <v>0.013245</v>
      </c>
      <c r="Q4089" t="n">
        <v>-90</v>
      </c>
      <c r="R4089" t="n">
        <v>0.3347</v>
      </c>
      <c r="S4089">
        <f>IMAGE("https://mitra.stanford.edu/kundaje/oak/projects/neuro-variants/variant_position/credible/roussos_2024/variant_figures/roussos_2024.adolescence.Astrocyte/rs7042228_count_position.png",4,220,900)</f>
        <v/>
      </c>
      <c r="T4089">
        <f>IMAGE("https://mitra.stanford.edu/kundaje/oak/projects/neuro-variants/variant_position/credible/roussos_2024/variant_figures/roussos_2024.adolescence.Astrocyte/rs7042228_profile_position.png",4,220,900)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-0.0109141698</v>
      </c>
      <c r="G4090" t="n">
        <v>0.6279405017108812</v>
      </c>
      <c r="H4090" t="n">
        <v>0.0178545384740214</v>
      </c>
      <c r="I4090" t="n">
        <v>0.2010336055445029</v>
      </c>
      <c r="J4090" t="n">
        <v>0.0118765391804883</v>
      </c>
      <c r="K4090" t="n">
        <v>0.6406621829443001</v>
      </c>
      <c r="L4090" t="b">
        <v>0</v>
      </c>
      <c r="M4090" t="b">
        <v>0</v>
      </c>
      <c r="N4090" t="inlineStr">
        <is>
          <t>ref</t>
        </is>
      </c>
      <c r="O4090" t="n">
        <v>70</v>
      </c>
      <c r="P4090" t="n">
        <v>0.0167</v>
      </c>
      <c r="Q4090" t="n">
        <v>25</v>
      </c>
      <c r="R4090" t="n">
        <v>0.0629</v>
      </c>
      <c r="S4090">
        <f>IMAGE("https://mitra.stanford.edu/kundaje/oak/projects/neuro-variants/variant_position/credible/roussos_2024/variant_figures/roussos_2024.adolescence.Astrocyte/rs7855572_count_position.png",4,220,900)</f>
        <v/>
      </c>
      <c r="T4090">
        <f>IMAGE("https://mitra.stanford.edu/kundaje/oak/projects/neuro-variants/variant_position/credible/roussos_2024/variant_figures/roussos_2024.adolescence.Astrocyte/rs7855572_profile_position.png",4,220,900)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-0.079113484</v>
      </c>
      <c r="G4091" t="n">
        <v>0.0995688382465019</v>
      </c>
      <c r="H4091" t="n">
        <v>0.0202875915515685</v>
      </c>
      <c r="I4091" t="n">
        <v>0.1332161600661403</v>
      </c>
      <c r="J4091" t="n">
        <v>0.210777230513604</v>
      </c>
      <c r="K4091" t="n">
        <v>0.193985939844499</v>
      </c>
      <c r="L4091" t="b">
        <v>0</v>
      </c>
      <c r="M4091" t="b">
        <v>0</v>
      </c>
      <c r="N4091" t="inlineStr">
        <is>
          <t>ref</t>
        </is>
      </c>
      <c r="O4091" t="n">
        <v>-85</v>
      </c>
      <c r="P4091" t="n">
        <v>0.01071</v>
      </c>
      <c r="Q4091" t="n">
        <v>-90</v>
      </c>
      <c r="R4091" t="n">
        <v>0.3208</v>
      </c>
      <c r="S4091">
        <f>IMAGE("https://mitra.stanford.edu/kundaje/oak/projects/neuro-variants/variant_position/credible/roussos_2024/variant_figures/roussos_2024.adolescence.Astrocyte/rs62580940_count_position.png",4,220,900)</f>
        <v/>
      </c>
      <c r="T4091">
        <f>IMAGE("https://mitra.stanford.edu/kundaje/oak/projects/neuro-variants/variant_position/credible/roussos_2024/variant_figures/roussos_2024.adolescence.Astrocyte/rs62580940_profile_position.png",4,220,900)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2025-12-18T17:44:10Z</dcterms:created>
  <dcterms:modified xmlns:dcterms="http://purl.org/dc/terms/" xmlns:xsi="http://www.w3.org/2001/XMLSchema-instance" xsi:type="dcterms:W3CDTF">2025-12-18T17:44:11Z</dcterms:modified>
</cp:coreProperties>
</file>